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erson\Desktop\Budgets\"/>
    </mc:Choice>
  </mc:AlternateContent>
  <bookViews>
    <workbookView xWindow="0" yWindow="0" windowWidth="28800" windowHeight="12432"/>
  </bookViews>
  <sheets>
    <sheet name="2025-26 Spending Plan" sheetId="1" r:id="rId1"/>
    <sheet name="2025-26 Spending Plan Summary" sheetId="2" r:id="rId2"/>
  </sheets>
  <definedNames>
    <definedName name="a" localSheetId="0">#REF!</definedName>
    <definedName name="a" localSheetId="1">#REF!</definedName>
    <definedName name="a">#REF!</definedName>
    <definedName name="Accounts" localSheetId="0">#REF!</definedName>
    <definedName name="Accounts" localSheetId="1">#REF!</definedName>
    <definedName name="Accounts">#REF!</definedName>
    <definedName name="accts" localSheetId="0">#REF!</definedName>
    <definedName name="accts" localSheetId="1">#REF!</definedName>
    <definedName name="accts">#REF!</definedName>
    <definedName name="data" localSheetId="0">#REF!</definedName>
    <definedName name="data" localSheetId="1">#REF!</definedName>
    <definedName name="data">#REF!</definedName>
    <definedName name="dta" localSheetId="0">#REF!</definedName>
    <definedName name="dta" localSheetId="1">#REF!</definedName>
    <definedName name="dta">#REF!</definedName>
    <definedName name="_xlnm.Print_Area" localSheetId="0">'2025-26 Spending Plan'!$A$1:$T$73</definedName>
    <definedName name="_xlnm.Print_Area" localSheetId="1">'2025-26 Spending Plan Summary'!$B$2:$T$75</definedName>
    <definedName name="SG" localSheetId="0">#REF!</definedName>
    <definedName name="SG" localSheetId="1">#REF!</definedName>
    <definedName name="SG">#REF!</definedName>
    <definedName name="test" localSheetId="0">#REF!</definedName>
    <definedName name="test" localSheetId="1">#REF!</definedName>
    <definedName name="test">#REF!</definedName>
    <definedName name="xccc" localSheetId="0">#REF!</definedName>
    <definedName name="xccc" localSheetId="1">#REF!</definedName>
    <definedName name="xcc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3" i="1" l="1"/>
  <c r="Q62" i="1" l="1"/>
  <c r="T46" i="1" l="1"/>
  <c r="T63" i="1"/>
  <c r="S62" i="1"/>
  <c r="S63" i="1"/>
  <c r="T62" i="1"/>
  <c r="T61" i="1"/>
  <c r="S61" i="1"/>
  <c r="T58" i="1"/>
  <c r="S58" i="1"/>
  <c r="T55" i="1"/>
  <c r="S55" i="1"/>
  <c r="T52" i="1"/>
  <c r="S52" i="1"/>
  <c r="T49" i="1"/>
  <c r="S49" i="1"/>
  <c r="S46" i="1"/>
  <c r="T43" i="1"/>
  <c r="S43" i="1"/>
  <c r="T40" i="1"/>
  <c r="S40" i="1"/>
  <c r="T37" i="1"/>
  <c r="S37" i="1"/>
  <c r="T34" i="1"/>
  <c r="S34" i="1"/>
  <c r="T31" i="1"/>
  <c r="S31" i="1"/>
  <c r="T28" i="1"/>
  <c r="S28" i="1"/>
  <c r="T23" i="1"/>
  <c r="S23" i="1"/>
  <c r="T19" i="1"/>
  <c r="S19" i="1"/>
  <c r="S20" i="1" s="1"/>
  <c r="S24" i="1" s="1"/>
  <c r="T8" i="1"/>
  <c r="S8" i="1"/>
  <c r="T64" i="1" l="1"/>
  <c r="T20" i="1"/>
  <c r="T24" i="1" s="1"/>
  <c r="S64" i="1"/>
  <c r="D11" i="2"/>
  <c r="F11" i="2"/>
  <c r="G11" i="2"/>
  <c r="J11" i="2"/>
  <c r="K11" i="2"/>
  <c r="L11" i="2"/>
  <c r="M11" i="2"/>
  <c r="N11" i="2"/>
  <c r="R11" i="2"/>
  <c r="M71" i="2"/>
  <c r="L71" i="2"/>
  <c r="K70" i="2"/>
  <c r="T64" i="2"/>
  <c r="S64" i="2"/>
  <c r="R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T63" i="2"/>
  <c r="S63" i="2"/>
  <c r="R63" i="2"/>
  <c r="P63" i="2"/>
  <c r="O63" i="2"/>
  <c r="O65" i="2" s="1"/>
  <c r="N63" i="2"/>
  <c r="N65" i="2" s="1"/>
  <c r="M63" i="2"/>
  <c r="M65" i="2" s="1"/>
  <c r="L63" i="2"/>
  <c r="L65" i="2" s="1"/>
  <c r="K63" i="2"/>
  <c r="K65" i="2" s="1"/>
  <c r="J63" i="2"/>
  <c r="J65" i="2" s="1"/>
  <c r="I63" i="2"/>
  <c r="I65" i="2" s="1"/>
  <c r="H63" i="2"/>
  <c r="H65" i="2" s="1"/>
  <c r="G63" i="2"/>
  <c r="G65" i="2" s="1"/>
  <c r="F63" i="2"/>
  <c r="E63" i="2"/>
  <c r="D63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Q61" i="2"/>
  <c r="Q64" i="2" s="1"/>
  <c r="Q60" i="2"/>
  <c r="Q63" i="2" s="1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T50" i="2"/>
  <c r="S50" i="2"/>
  <c r="R50" i="2"/>
  <c r="Q50" i="2"/>
  <c r="P50" i="2"/>
  <c r="N50" i="2"/>
  <c r="K50" i="2"/>
  <c r="I50" i="2"/>
  <c r="H50" i="2"/>
  <c r="G50" i="2"/>
  <c r="F50" i="2"/>
  <c r="E50" i="2"/>
  <c r="D50" i="2"/>
  <c r="O49" i="2"/>
  <c r="O50" i="2" s="1"/>
  <c r="N49" i="2"/>
  <c r="M49" i="2"/>
  <c r="L49" i="2"/>
  <c r="J49" i="2"/>
  <c r="O48" i="2"/>
  <c r="M48" i="2"/>
  <c r="L48" i="2"/>
  <c r="L50" i="2" s="1"/>
  <c r="J48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T41" i="2"/>
  <c r="S41" i="2"/>
  <c r="R41" i="2"/>
  <c r="Q41" i="2"/>
  <c r="P41" i="2"/>
  <c r="K41" i="2"/>
  <c r="I41" i="2"/>
  <c r="H41" i="2"/>
  <c r="G41" i="2"/>
  <c r="F41" i="2"/>
  <c r="E41" i="2"/>
  <c r="D41" i="2"/>
  <c r="O40" i="2"/>
  <c r="N40" i="2"/>
  <c r="N41" i="2" s="1"/>
  <c r="M40" i="2"/>
  <c r="L40" i="2"/>
  <c r="J40" i="2"/>
  <c r="O39" i="2"/>
  <c r="M39" i="2"/>
  <c r="L39" i="2"/>
  <c r="L41" i="2" s="1"/>
  <c r="J39" i="2"/>
  <c r="J41" i="2" s="1"/>
  <c r="T38" i="2"/>
  <c r="S38" i="2"/>
  <c r="R38" i="2"/>
  <c r="Q38" i="2"/>
  <c r="P38" i="2"/>
  <c r="K38" i="2"/>
  <c r="I38" i="2"/>
  <c r="H38" i="2"/>
  <c r="G38" i="2"/>
  <c r="F38" i="2"/>
  <c r="E38" i="2"/>
  <c r="D38" i="2"/>
  <c r="O37" i="2"/>
  <c r="N37" i="2"/>
  <c r="N38" i="2" s="1"/>
  <c r="M37" i="2"/>
  <c r="M38" i="2" s="1"/>
  <c r="L37" i="2"/>
  <c r="J37" i="2"/>
  <c r="O36" i="2"/>
  <c r="M36" i="2"/>
  <c r="L36" i="2"/>
  <c r="J36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F20" i="2"/>
  <c r="E20" i="2"/>
  <c r="E21" i="2" s="1"/>
  <c r="E25" i="2" s="1"/>
  <c r="E73" i="2" s="1"/>
  <c r="D20" i="2"/>
  <c r="G19" i="2"/>
  <c r="G20" i="2" s="1"/>
  <c r="T9" i="2"/>
  <c r="S9" i="2"/>
  <c r="S21" i="2" s="1"/>
  <c r="S25" i="2" s="1"/>
  <c r="R9" i="2"/>
  <c r="R21" i="2" s="1"/>
  <c r="R25" i="2" s="1"/>
  <c r="Q9" i="2"/>
  <c r="P9" i="2"/>
  <c r="P21" i="2" s="1"/>
  <c r="P25" i="2" s="1"/>
  <c r="O9" i="2"/>
  <c r="N9" i="2"/>
  <c r="M9" i="2"/>
  <c r="L9" i="2"/>
  <c r="J9" i="2"/>
  <c r="I9" i="2"/>
  <c r="I21" i="2" s="1"/>
  <c r="I25" i="2" s="1"/>
  <c r="H9" i="2"/>
  <c r="H21" i="2" s="1"/>
  <c r="H25" i="2" s="1"/>
  <c r="G9" i="2"/>
  <c r="F9" i="2"/>
  <c r="E9" i="2"/>
  <c r="D9" i="2"/>
  <c r="K8" i="2"/>
  <c r="K9" i="2" s="1"/>
  <c r="T73" i="1" l="1"/>
  <c r="Q65" i="2"/>
  <c r="M50" i="2"/>
  <c r="J38" i="2"/>
  <c r="F65" i="2"/>
  <c r="S65" i="2"/>
  <c r="S73" i="2" s="1"/>
  <c r="P65" i="2"/>
  <c r="P73" i="2" s="1"/>
  <c r="T65" i="2"/>
  <c r="K21" i="2"/>
  <c r="K25" i="2" s="1"/>
  <c r="K73" i="2" s="1"/>
  <c r="O21" i="2"/>
  <c r="O25" i="2" s="1"/>
  <c r="L38" i="2"/>
  <c r="M41" i="2"/>
  <c r="O41" i="2"/>
  <c r="O38" i="2"/>
  <c r="J50" i="2"/>
  <c r="Q21" i="2"/>
  <c r="Q25" i="2" s="1"/>
  <c r="Q73" i="2" s="1"/>
  <c r="N21" i="2"/>
  <c r="N25" i="2" s="1"/>
  <c r="N73" i="2" s="1"/>
  <c r="L21" i="2"/>
  <c r="L25" i="2" s="1"/>
  <c r="L73" i="2" s="1"/>
  <c r="T21" i="2"/>
  <c r="T25" i="2" s="1"/>
  <c r="F21" i="2"/>
  <c r="F25" i="2" s="1"/>
  <c r="F73" i="2" s="1"/>
  <c r="D21" i="2"/>
  <c r="D25" i="2" s="1"/>
  <c r="D73" i="2" s="1"/>
  <c r="M21" i="2"/>
  <c r="M25" i="2" s="1"/>
  <c r="M73" i="2" s="1"/>
  <c r="J21" i="2"/>
  <c r="J25" i="2" s="1"/>
  <c r="J73" i="2" s="1"/>
  <c r="R65" i="2"/>
  <c r="G21" i="2"/>
  <c r="G25" i="2" s="1"/>
  <c r="G73" i="2" s="1"/>
  <c r="H73" i="2"/>
  <c r="I73" i="2"/>
  <c r="O73" i="2"/>
  <c r="P60" i="1"/>
  <c r="P59" i="1"/>
  <c r="T73" i="2" l="1"/>
  <c r="P63" i="1" l="1"/>
  <c r="P62" i="1"/>
  <c r="P61" i="1"/>
  <c r="P58" i="1"/>
  <c r="P55" i="1"/>
  <c r="P52" i="1"/>
  <c r="P49" i="1"/>
  <c r="P46" i="1"/>
  <c r="P43" i="1"/>
  <c r="P40" i="1"/>
  <c r="P37" i="1"/>
  <c r="P34" i="1"/>
  <c r="P31" i="1"/>
  <c r="P28" i="1"/>
  <c r="P23" i="1"/>
  <c r="P19" i="1"/>
  <c r="P8" i="1"/>
  <c r="P20" i="1" l="1"/>
  <c r="P24" i="1" s="1"/>
  <c r="P64" i="1"/>
  <c r="L71" i="1"/>
  <c r="K71" i="1"/>
  <c r="J70" i="1"/>
  <c r="R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R62" i="1"/>
  <c r="O62" i="1"/>
  <c r="N62" i="1"/>
  <c r="M62" i="1"/>
  <c r="L62" i="1"/>
  <c r="L64" i="1" s="1"/>
  <c r="K62" i="1"/>
  <c r="K64" i="1" s="1"/>
  <c r="J62" i="1"/>
  <c r="I62" i="1"/>
  <c r="I64" i="1" s="1"/>
  <c r="H62" i="1"/>
  <c r="G62" i="1"/>
  <c r="G64" i="1" s="1"/>
  <c r="F62" i="1"/>
  <c r="F64" i="1" s="1"/>
  <c r="E62" i="1"/>
  <c r="D62" i="1"/>
  <c r="C62" i="1"/>
  <c r="R61" i="1"/>
  <c r="Q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R58" i="1"/>
  <c r="Q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R55" i="1"/>
  <c r="Q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R52" i="1"/>
  <c r="Q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R49" i="1"/>
  <c r="Q49" i="1"/>
  <c r="O49" i="1"/>
  <c r="J49" i="1"/>
  <c r="H49" i="1"/>
  <c r="G49" i="1"/>
  <c r="F49" i="1"/>
  <c r="E49" i="1"/>
  <c r="D49" i="1"/>
  <c r="C49" i="1"/>
  <c r="N48" i="1"/>
  <c r="M48" i="1"/>
  <c r="M49" i="1" s="1"/>
  <c r="L48" i="1"/>
  <c r="K48" i="1"/>
  <c r="I48" i="1"/>
  <c r="N47" i="1"/>
  <c r="N49" i="1" s="1"/>
  <c r="L47" i="1"/>
  <c r="K47" i="1"/>
  <c r="K49" i="1" s="1"/>
  <c r="I47" i="1"/>
  <c r="R46" i="1"/>
  <c r="Q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R43" i="1"/>
  <c r="Q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R40" i="1"/>
  <c r="Q40" i="1"/>
  <c r="O40" i="1"/>
  <c r="M40" i="1"/>
  <c r="J40" i="1"/>
  <c r="H40" i="1"/>
  <c r="G40" i="1"/>
  <c r="F40" i="1"/>
  <c r="E40" i="1"/>
  <c r="D40" i="1"/>
  <c r="C40" i="1"/>
  <c r="N39" i="1"/>
  <c r="M39" i="1"/>
  <c r="L39" i="1"/>
  <c r="K39" i="1"/>
  <c r="I39" i="1"/>
  <c r="N38" i="1"/>
  <c r="N40" i="1" s="1"/>
  <c r="L38" i="1"/>
  <c r="K38" i="1"/>
  <c r="I38" i="1"/>
  <c r="I40" i="1" s="1"/>
  <c r="R37" i="1"/>
  <c r="Q37" i="1"/>
  <c r="O37" i="1"/>
  <c r="J37" i="1"/>
  <c r="H37" i="1"/>
  <c r="G37" i="1"/>
  <c r="F37" i="1"/>
  <c r="E37" i="1"/>
  <c r="D37" i="1"/>
  <c r="C37" i="1"/>
  <c r="N36" i="1"/>
  <c r="M36" i="1"/>
  <c r="M37" i="1" s="1"/>
  <c r="L36" i="1"/>
  <c r="K36" i="1"/>
  <c r="I36" i="1"/>
  <c r="I37" i="1" s="1"/>
  <c r="N35" i="1"/>
  <c r="N37" i="1" s="1"/>
  <c r="L35" i="1"/>
  <c r="L37" i="1" s="1"/>
  <c r="K35" i="1"/>
  <c r="K37" i="1" s="1"/>
  <c r="I35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R28" i="1"/>
  <c r="Q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3" i="1"/>
  <c r="Q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R19" i="1"/>
  <c r="Q19" i="1"/>
  <c r="O19" i="1"/>
  <c r="O20" i="1" s="1"/>
  <c r="O24" i="1" s="1"/>
  <c r="N19" i="1"/>
  <c r="M19" i="1"/>
  <c r="M20" i="1" s="1"/>
  <c r="M24" i="1" s="1"/>
  <c r="L19" i="1"/>
  <c r="K19" i="1"/>
  <c r="J19" i="1"/>
  <c r="I19" i="1"/>
  <c r="H19" i="1"/>
  <c r="H20" i="1" s="1"/>
  <c r="H24" i="1" s="1"/>
  <c r="G19" i="1"/>
  <c r="G20" i="1" s="1"/>
  <c r="G24" i="1" s="1"/>
  <c r="E19" i="1"/>
  <c r="D19" i="1"/>
  <c r="D20" i="1" s="1"/>
  <c r="D24" i="1" s="1"/>
  <c r="D73" i="1" s="1"/>
  <c r="C19" i="1"/>
  <c r="F18" i="1"/>
  <c r="F19" i="1" s="1"/>
  <c r="M10" i="1"/>
  <c r="L10" i="1"/>
  <c r="K10" i="1"/>
  <c r="J10" i="1"/>
  <c r="I10" i="1"/>
  <c r="F10" i="1"/>
  <c r="E10" i="1"/>
  <c r="C10" i="1"/>
  <c r="R8" i="1"/>
  <c r="Q8" i="1"/>
  <c r="O8" i="1"/>
  <c r="N8" i="1"/>
  <c r="N20" i="1" s="1"/>
  <c r="N24" i="1" s="1"/>
  <c r="M8" i="1"/>
  <c r="L8" i="1"/>
  <c r="L20" i="1" s="1"/>
  <c r="L24" i="1" s="1"/>
  <c r="K8" i="1"/>
  <c r="I8" i="1"/>
  <c r="H8" i="1"/>
  <c r="G8" i="1"/>
  <c r="F8" i="1"/>
  <c r="E8" i="1"/>
  <c r="D8" i="1"/>
  <c r="C8" i="1"/>
  <c r="C20" i="1" s="1"/>
  <c r="C24" i="1" s="1"/>
  <c r="C73" i="1" s="1"/>
  <c r="J7" i="1"/>
  <c r="J8" i="1" s="1"/>
  <c r="N64" i="1" l="1"/>
  <c r="N73" i="1" s="1"/>
  <c r="O64" i="1"/>
  <c r="O73" i="1" s="1"/>
  <c r="J20" i="1"/>
  <c r="J24" i="1" s="1"/>
  <c r="K20" i="1"/>
  <c r="K24" i="1" s="1"/>
  <c r="K73" i="1" s="1"/>
  <c r="L40" i="1"/>
  <c r="I49" i="1"/>
  <c r="G73" i="1"/>
  <c r="E20" i="1"/>
  <c r="E24" i="1" s="1"/>
  <c r="L49" i="1"/>
  <c r="E64" i="1"/>
  <c r="E73" i="1" s="1"/>
  <c r="M64" i="1"/>
  <c r="H64" i="1"/>
  <c r="H73" i="1" s="1"/>
  <c r="I20" i="1"/>
  <c r="I24" i="1" s="1"/>
  <c r="I73" i="1" s="1"/>
  <c r="K40" i="1"/>
  <c r="J64" i="1"/>
  <c r="P73" i="1"/>
  <c r="R64" i="1"/>
  <c r="Q64" i="1"/>
  <c r="Q20" i="1"/>
  <c r="Q24" i="1" s="1"/>
  <c r="R20" i="1"/>
  <c r="R24" i="1" s="1"/>
  <c r="L73" i="1"/>
  <c r="F20" i="1"/>
  <c r="F24" i="1" s="1"/>
  <c r="F73" i="1" s="1"/>
  <c r="M73" i="1"/>
  <c r="Q73" i="1" l="1"/>
  <c r="J73" i="1"/>
  <c r="R73" i="1"/>
</calcChain>
</file>

<file path=xl/sharedStrings.xml><?xml version="1.0" encoding="utf-8"?>
<sst xmlns="http://schemas.openxmlformats.org/spreadsheetml/2006/main" count="194" uniqueCount="64">
  <si>
    <t>2010-2011
Actuals</t>
  </si>
  <si>
    <t>2011-2012
Actuals</t>
  </si>
  <si>
    <t>2012-2013
Actuals</t>
  </si>
  <si>
    <t>2013-2014
Actuals</t>
  </si>
  <si>
    <t>2014-2015
Actuals</t>
  </si>
  <si>
    <t>2015-2016
 Actuals</t>
  </si>
  <si>
    <t>2016-2017
 Actual</t>
  </si>
  <si>
    <t>2017-2018
 Actual</t>
  </si>
  <si>
    <t>2018-2019
Actual</t>
  </si>
  <si>
    <t>2019-2020
Actual</t>
  </si>
  <si>
    <t>2020-2021
Actual</t>
  </si>
  <si>
    <t>2021-2022</t>
  </si>
  <si>
    <t>2022-2023
 Actual</t>
  </si>
  <si>
    <t>2024-2025
 Budget</t>
  </si>
  <si>
    <t>Actual</t>
  </si>
  <si>
    <t>Operating Revenue</t>
  </si>
  <si>
    <t xml:space="preserve">  Offering</t>
  </si>
  <si>
    <t xml:space="preserve">  Other</t>
  </si>
  <si>
    <t>Revenue Total:</t>
  </si>
  <si>
    <t xml:space="preserve">  Benevolence (10% of Total Revenue)</t>
  </si>
  <si>
    <t>Operating Expense</t>
  </si>
  <si>
    <t xml:space="preserve">  Mortgage Interest</t>
  </si>
  <si>
    <t xml:space="preserve">  Communications</t>
  </si>
  <si>
    <t xml:space="preserve">  Property</t>
  </si>
  <si>
    <t xml:space="preserve">  Administration</t>
  </si>
  <si>
    <t xml:space="preserve">  Expense Total: </t>
  </si>
  <si>
    <t xml:space="preserve">Net Operating: </t>
  </si>
  <si>
    <t xml:space="preserve">  Salaries &amp; Benefits</t>
  </si>
  <si>
    <t xml:space="preserve">  Salaries % of Offering</t>
  </si>
  <si>
    <t xml:space="preserve">  Cash Flow Before Ministries: </t>
  </si>
  <si>
    <t>Ministries</t>
  </si>
  <si>
    <t xml:space="preserve">  Missions</t>
  </si>
  <si>
    <t xml:space="preserve">Revenue: </t>
  </si>
  <si>
    <t xml:space="preserve">Expenses: </t>
  </si>
  <si>
    <t xml:space="preserve">Net: </t>
  </si>
  <si>
    <t xml:space="preserve">  Café</t>
  </si>
  <si>
    <t xml:space="preserve">  Preschool</t>
  </si>
  <si>
    <t xml:space="preserve">  Children</t>
  </si>
  <si>
    <t xml:space="preserve">  Students</t>
  </si>
  <si>
    <t xml:space="preserve">  Disability</t>
  </si>
  <si>
    <t xml:space="preserve">  Family Life</t>
  </si>
  <si>
    <t xml:space="preserve">  Adult</t>
  </si>
  <si>
    <t xml:space="preserve">  Outreach</t>
  </si>
  <si>
    <t xml:space="preserve">  Worship</t>
  </si>
  <si>
    <t xml:space="preserve">  Congregational Care</t>
  </si>
  <si>
    <t xml:space="preserve">  Ministries Total</t>
  </si>
  <si>
    <t xml:space="preserve">  Loan Principal</t>
  </si>
  <si>
    <t xml:space="preserve">  Transfer to Capital Reserve / Restricted Account</t>
  </si>
  <si>
    <t xml:space="preserve">  One-time Expenses</t>
  </si>
  <si>
    <t xml:space="preserve">  Transfer from Capital Reserve / Restricted Account</t>
  </si>
  <si>
    <t xml:space="preserve">TOTAL CASH FLOW: </t>
  </si>
  <si>
    <r>
      <t xml:space="preserve">ANNUAL MEETING | 2025-2026 PROPOSED </t>
    </r>
    <r>
      <rPr>
        <b/>
        <sz val="16"/>
        <color indexed="8"/>
        <rFont val="Arial Narrow"/>
        <family val="2"/>
      </rPr>
      <t>ONE FUND</t>
    </r>
    <r>
      <rPr>
        <sz val="16"/>
        <color indexed="8"/>
        <rFont val="Arial Narrow"/>
        <family val="2"/>
      </rPr>
      <t xml:space="preserve"> SPENDING PLAN</t>
    </r>
  </si>
  <si>
    <t>2023-2024
 Actual</t>
  </si>
  <si>
    <t>2024-2025
Forecast</t>
  </si>
  <si>
    <t>2025-2026
 Budget</t>
  </si>
  <si>
    <t xml:space="preserve">  Fellowship</t>
  </si>
  <si>
    <t xml:space="preserve">  Contracted Services</t>
  </si>
  <si>
    <t xml:space="preserve">  New Loan Principal &amp; Interest</t>
  </si>
  <si>
    <t xml:space="preserve">  FORWARD Initiative Expenses</t>
  </si>
  <si>
    <t>2025-2026
Forecast</t>
  </si>
  <si>
    <t>2026-2027
 Budget</t>
  </si>
  <si>
    <t>2024-2025
Actual</t>
  </si>
  <si>
    <r>
      <t xml:space="preserve">ANNUAL MEETING | 2026-2027 PROPOSED </t>
    </r>
    <r>
      <rPr>
        <b/>
        <sz val="16"/>
        <color indexed="8"/>
        <rFont val="Arial Narrow"/>
        <family val="2"/>
      </rPr>
      <t>ONE FUND</t>
    </r>
    <r>
      <rPr>
        <sz val="16"/>
        <color indexed="8"/>
        <rFont val="Arial Narrow"/>
        <family val="2"/>
      </rPr>
      <t xml:space="preserve"> SPENDING PLAN</t>
    </r>
  </si>
  <si>
    <t xml:space="preserve">  Legacy "Small" Loan 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</si>
</sst>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&quot; &quot;;\(&quot;$&quot;#,##0\)"/>
    <numFmt numFmtId="165" formatCode="0.0%"/>
    <numFmt numFmtId="166" formatCode="&quot; &quot;&quot;$&quot;* #,##0&quot; &quot;;&quot; &quot;&quot;$&quot;* \(#,##0\);&quot; &quot;&quot;$&quot;* &quot;-&quot;??&quot; &quot;"/>
  </numFmts>
  <fonts count="15" x14ac:knownFonts="1">
    <font>
      <sz val="12"/>
      <color indexed="8"/>
      <name val="Verdana"/>
    </font>
    <font>
      <sz val="16"/>
      <color indexed="8"/>
      <name val="Arial Narrow"/>
      <family val="2"/>
    </font>
    <font>
      <b/>
      <sz val="16"/>
      <color indexed="8"/>
      <name val="Arial Narrow"/>
      <family val="2"/>
    </font>
    <font>
      <sz val="18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u/>
      <sz val="11"/>
      <color indexed="8"/>
      <name val="Arial Narrow"/>
      <family val="2"/>
    </font>
    <font>
      <u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i/>
      <sz val="11"/>
      <color indexed="8"/>
      <name val="Arial Narrow"/>
      <family val="2"/>
    </font>
    <font>
      <b/>
      <sz val="10.5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indexed="8"/>
      <name val="Arial Narrow"/>
      <family val="2"/>
    </font>
    <font>
      <sz val="11"/>
      <color rgb="FFFF0000"/>
      <name val="Arial Narrow"/>
      <family val="2"/>
    </font>
    <font>
      <i/>
      <sz val="11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7">
    <xf numFmtId="0" fontId="0" fillId="0" borderId="0" xfId="0">
      <alignment vertical="top" wrapText="1"/>
    </xf>
    <xf numFmtId="1" fontId="1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vertical="center" wrapText="1"/>
    </xf>
    <xf numFmtId="15" fontId="5" fillId="0" borderId="0" xfId="0" applyNumberFormat="1" applyFont="1" applyFill="1" applyBorder="1" applyAlignment="1">
      <alignment horizontal="left" vertical="center"/>
    </xf>
    <xf numFmtId="15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left" vertical="center"/>
    </xf>
    <xf numFmtId="166" fontId="4" fillId="0" borderId="3" xfId="0" applyNumberFormat="1" applyFont="1" applyFill="1" applyBorder="1" applyAlignment="1">
      <alignment horizontal="left" vertical="center"/>
    </xf>
    <xf numFmtId="166" fontId="4" fillId="0" borderId="2" xfId="0" applyNumberFormat="1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 applyAlignment="1">
      <alignment vertical="center"/>
    </xf>
    <xf numFmtId="166" fontId="9" fillId="0" borderId="3" xfId="0" applyNumberFormat="1" applyFont="1" applyFill="1" applyBorder="1" applyAlignment="1">
      <alignment vertical="center"/>
    </xf>
    <xf numFmtId="166" fontId="4" fillId="0" borderId="3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vertical="center"/>
    </xf>
    <xf numFmtId="166" fontId="5" fillId="2" borderId="3" xfId="0" applyNumberFormat="1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vertical="center"/>
    </xf>
    <xf numFmtId="166" fontId="9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right" vertical="center"/>
    </xf>
    <xf numFmtId="166" fontId="4" fillId="0" borderId="5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5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right" vertical="center"/>
    </xf>
    <xf numFmtId="166" fontId="8" fillId="2" borderId="0" xfId="0" applyNumberFormat="1" applyFont="1" applyFill="1" applyBorder="1" applyAlignment="1">
      <alignment vertical="center"/>
    </xf>
    <xf numFmtId="166" fontId="8" fillId="2" borderId="3" xfId="0" applyNumberFormat="1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166" fontId="5" fillId="2" borderId="4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top"/>
    </xf>
    <xf numFmtId="0" fontId="12" fillId="0" borderId="0" xfId="0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left" vertical="center"/>
    </xf>
    <xf numFmtId="166" fontId="4" fillId="4" borderId="3" xfId="0" applyNumberFormat="1" applyFont="1" applyFill="1" applyBorder="1" applyAlignment="1">
      <alignment horizontal="left" vertical="center"/>
    </xf>
    <xf numFmtId="166" fontId="4" fillId="5" borderId="3" xfId="0" applyNumberFormat="1" applyFont="1" applyFill="1" applyBorder="1" applyAlignment="1">
      <alignment horizontal="left" vertical="center"/>
    </xf>
    <xf numFmtId="166" fontId="4" fillId="6" borderId="3" xfId="0" applyNumberFormat="1" applyFont="1" applyFill="1" applyBorder="1" applyAlignment="1">
      <alignment horizontal="left" vertical="center"/>
    </xf>
    <xf numFmtId="166" fontId="4" fillId="7" borderId="3" xfId="0" applyNumberFormat="1" applyFont="1" applyFill="1" applyBorder="1" applyAlignment="1">
      <alignment vertical="center"/>
    </xf>
    <xf numFmtId="166" fontId="9" fillId="7" borderId="4" xfId="0" applyNumberFormat="1" applyFont="1" applyFill="1" applyBorder="1" applyAlignment="1">
      <alignment vertical="center"/>
    </xf>
    <xf numFmtId="166" fontId="13" fillId="0" borderId="3" xfId="0" applyNumberFormat="1" applyFont="1" applyFill="1" applyBorder="1" applyAlignment="1">
      <alignment vertical="center"/>
    </xf>
    <xf numFmtId="166" fontId="14" fillId="0" borderId="4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89"/>
  <sheetViews>
    <sheetView showGridLines="0" tabSelected="1" zoomScale="160" zoomScaleNormal="160" workbookViewId="0">
      <pane ySplit="4" topLeftCell="A62" activePane="bottomLeft" state="frozen"/>
      <selection activeCell="S69" sqref="S69"/>
      <selection pane="bottomLeft" activeCell="S73" sqref="S73"/>
    </sheetView>
  </sheetViews>
  <sheetFormatPr defaultColWidth="6.61328125" defaultRowHeight="14.25" customHeight="1" x14ac:dyDescent="0.3"/>
  <cols>
    <col min="1" max="1" width="22.15234375" style="23" customWidth="1"/>
    <col min="2" max="2" width="8.61328125" style="4" customWidth="1"/>
    <col min="3" max="3" width="11.23046875" style="4" hidden="1" customWidth="1"/>
    <col min="4" max="5" width="11.23046875" style="33" hidden="1" customWidth="1"/>
    <col min="6" max="6" width="11.23046875" style="4" hidden="1" customWidth="1"/>
    <col min="7" max="9" width="11.23046875" style="33" hidden="1" customWidth="1"/>
    <col min="10" max="16" width="11.765625" style="33" hidden="1" customWidth="1"/>
    <col min="17" max="20" width="11.765625" style="33" customWidth="1"/>
    <col min="21" max="232" width="6.61328125" style="4" customWidth="1"/>
    <col min="233" max="16384" width="6.61328125" style="62"/>
  </cols>
  <sheetData>
    <row r="1" spans="1:20" s="4" customFormat="1" ht="15" customHeight="1" x14ac:dyDescent="0.3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4" customFormat="1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4" customFormat="1" ht="15" customHeight="1" x14ac:dyDescent="0.3">
      <c r="A3" s="5"/>
      <c r="B3" s="6"/>
      <c r="C3" s="73" t="s">
        <v>0</v>
      </c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5" t="s">
        <v>6</v>
      </c>
      <c r="J3" s="75" t="s">
        <v>7</v>
      </c>
      <c r="K3" s="75" t="s">
        <v>8</v>
      </c>
      <c r="L3" s="75" t="s">
        <v>9</v>
      </c>
      <c r="M3" s="75" t="s">
        <v>10</v>
      </c>
      <c r="N3" s="7" t="s">
        <v>11</v>
      </c>
      <c r="O3" s="75" t="s">
        <v>12</v>
      </c>
      <c r="P3" s="75" t="s">
        <v>52</v>
      </c>
      <c r="Q3" s="75" t="s">
        <v>61</v>
      </c>
      <c r="R3" s="75" t="s">
        <v>54</v>
      </c>
      <c r="S3" s="75" t="s">
        <v>59</v>
      </c>
      <c r="T3" s="75" t="s">
        <v>60</v>
      </c>
    </row>
    <row r="4" spans="1:20" s="4" customFormat="1" ht="15" customHeight="1" x14ac:dyDescent="0.3">
      <c r="A4" s="8"/>
      <c r="B4" s="9"/>
      <c r="C4" s="74"/>
      <c r="D4" s="74"/>
      <c r="E4" s="74"/>
      <c r="F4" s="74"/>
      <c r="G4" s="74"/>
      <c r="H4" s="74"/>
      <c r="I4" s="76"/>
      <c r="J4" s="76"/>
      <c r="K4" s="76"/>
      <c r="L4" s="76"/>
      <c r="M4" s="76"/>
      <c r="N4" s="10" t="s">
        <v>14</v>
      </c>
      <c r="O4" s="76"/>
      <c r="P4" s="76"/>
      <c r="Q4" s="76"/>
      <c r="R4" s="76"/>
      <c r="S4" s="76"/>
      <c r="T4" s="76"/>
    </row>
    <row r="5" spans="1:20" s="4" customFormat="1" ht="15" customHeight="1" x14ac:dyDescent="0.3">
      <c r="A5" s="11" t="s">
        <v>15</v>
      </c>
      <c r="B5" s="12"/>
      <c r="C5" s="13"/>
      <c r="D5" s="13"/>
      <c r="E5" s="14"/>
      <c r="F5" s="9"/>
      <c r="G5" s="9"/>
      <c r="H5" s="9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4" customFormat="1" ht="15" customHeight="1" x14ac:dyDescent="0.3">
      <c r="A6" s="16" t="s">
        <v>16</v>
      </c>
      <c r="B6" s="17"/>
      <c r="C6" s="18">
        <v>1786465</v>
      </c>
      <c r="D6" s="18">
        <v>1911846</v>
      </c>
      <c r="E6" s="18">
        <v>2119456</v>
      </c>
      <c r="F6" s="18">
        <v>2428000</v>
      </c>
      <c r="G6" s="19">
        <v>2622240</v>
      </c>
      <c r="H6" s="19">
        <v>3623836</v>
      </c>
      <c r="I6" s="20">
        <v>3557105</v>
      </c>
      <c r="J6" s="20">
        <v>3317692</v>
      </c>
      <c r="K6" s="20">
        <v>3342368</v>
      </c>
      <c r="L6" s="20">
        <v>3210114</v>
      </c>
      <c r="M6" s="20">
        <v>2943236</v>
      </c>
      <c r="N6" s="20">
        <v>2823244</v>
      </c>
      <c r="O6" s="20">
        <v>2499531</v>
      </c>
      <c r="P6" s="20">
        <v>2838583</v>
      </c>
      <c r="Q6" s="20">
        <v>4915739</v>
      </c>
      <c r="R6" s="20">
        <v>3870654</v>
      </c>
      <c r="S6" s="20">
        <v>4787470</v>
      </c>
      <c r="T6" s="20">
        <v>4200000</v>
      </c>
    </row>
    <row r="7" spans="1:20" s="4" customFormat="1" ht="15" customHeight="1" x14ac:dyDescent="0.3">
      <c r="A7" s="16" t="s">
        <v>17</v>
      </c>
      <c r="B7" s="17"/>
      <c r="C7" s="21">
        <v>12612</v>
      </c>
      <c r="D7" s="21">
        <v>10014</v>
      </c>
      <c r="E7" s="21">
        <v>9293</v>
      </c>
      <c r="F7" s="21">
        <v>35494</v>
      </c>
      <c r="G7" s="21">
        <v>95385</v>
      </c>
      <c r="H7" s="21">
        <v>39906</v>
      </c>
      <c r="I7" s="22">
        <v>50967</v>
      </c>
      <c r="J7" s="22">
        <f>57550-38909</f>
        <v>18641</v>
      </c>
      <c r="K7" s="22">
        <v>20134</v>
      </c>
      <c r="L7" s="22">
        <v>20113</v>
      </c>
      <c r="M7" s="22">
        <v>5220</v>
      </c>
      <c r="N7" s="22">
        <v>399906</v>
      </c>
      <c r="O7" s="22">
        <v>33466</v>
      </c>
      <c r="P7" s="22">
        <v>56164</v>
      </c>
      <c r="Q7" s="22">
        <v>48953</v>
      </c>
      <c r="R7" s="22">
        <v>35639</v>
      </c>
      <c r="S7" s="22">
        <v>72561</v>
      </c>
      <c r="T7" s="22">
        <v>67800</v>
      </c>
    </row>
    <row r="8" spans="1:20" s="4" customFormat="1" ht="15" customHeight="1" x14ac:dyDescent="0.3">
      <c r="A8" s="23"/>
      <c r="B8" s="24" t="s">
        <v>18</v>
      </c>
      <c r="C8" s="25">
        <f t="shared" ref="C8:F8" si="0">SUM(C6:C7)</f>
        <v>1799077</v>
      </c>
      <c r="D8" s="25">
        <f t="shared" si="0"/>
        <v>1921860</v>
      </c>
      <c r="E8" s="25">
        <f t="shared" si="0"/>
        <v>2128749</v>
      </c>
      <c r="F8" s="25">
        <f t="shared" si="0"/>
        <v>2463494</v>
      </c>
      <c r="G8" s="25">
        <f>SUM(G6:G7)</f>
        <v>2717625</v>
      </c>
      <c r="H8" s="25">
        <f t="shared" ref="H8:J8" si="1">SUM(H6:H7)</f>
        <v>3663742</v>
      </c>
      <c r="I8" s="26">
        <f t="shared" si="1"/>
        <v>3608072</v>
      </c>
      <c r="J8" s="26">
        <f t="shared" si="1"/>
        <v>3336333</v>
      </c>
      <c r="K8" s="26">
        <f>SUM(K6:K7)</f>
        <v>3362502</v>
      </c>
      <c r="L8" s="26">
        <f>SUM(L6:L7)</f>
        <v>3230227</v>
      </c>
      <c r="M8" s="26">
        <f>SUM(M6:M7)</f>
        <v>2948456</v>
      </c>
      <c r="N8" s="26">
        <f t="shared" ref="N8:R8" si="2">SUM(N6:N7)</f>
        <v>3223150</v>
      </c>
      <c r="O8" s="26">
        <f t="shared" si="2"/>
        <v>2532997</v>
      </c>
      <c r="P8" s="26">
        <f t="shared" ref="P8" si="3">SUM(P6:P7)</f>
        <v>2894747</v>
      </c>
      <c r="Q8" s="26">
        <f t="shared" si="2"/>
        <v>4964692</v>
      </c>
      <c r="R8" s="26">
        <f t="shared" si="2"/>
        <v>3906293</v>
      </c>
      <c r="S8" s="26">
        <f t="shared" ref="S8:T8" si="4">SUM(S6:S7)</f>
        <v>4860031</v>
      </c>
      <c r="T8" s="26">
        <f t="shared" si="4"/>
        <v>4267800</v>
      </c>
    </row>
    <row r="9" spans="1:20" s="4" customFormat="1" ht="7.95" customHeight="1" x14ac:dyDescent="0.3">
      <c r="A9" s="23"/>
      <c r="B9" s="24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5" customHeight="1" x14ac:dyDescent="0.3">
      <c r="A10" s="16" t="s">
        <v>19</v>
      </c>
      <c r="B10" s="17"/>
      <c r="C10" s="18">
        <f>-C6*0.1</f>
        <v>-178646.5</v>
      </c>
      <c r="D10" s="18">
        <v>-191185</v>
      </c>
      <c r="E10" s="18">
        <f>-0.1*E6</f>
        <v>-211945.60000000001</v>
      </c>
      <c r="F10" s="18">
        <f>-F6*0.1</f>
        <v>-242800</v>
      </c>
      <c r="G10" s="18">
        <v>-262224</v>
      </c>
      <c r="H10" s="18">
        <v>-362384</v>
      </c>
      <c r="I10" s="27">
        <f>-(I6*0.1)</f>
        <v>-355710.5</v>
      </c>
      <c r="J10" s="27">
        <f>-(J6*0.1)</f>
        <v>-331769.2</v>
      </c>
      <c r="K10" s="27">
        <f>-(K6*0.1)</f>
        <v>-334236.80000000005</v>
      </c>
      <c r="L10" s="27">
        <f>-(L6*0.1)</f>
        <v>-321011.40000000002</v>
      </c>
      <c r="M10" s="27">
        <f>-((M6)*0.1)+2068</f>
        <v>-292255.60000000003</v>
      </c>
      <c r="N10" s="27">
        <v>-322315</v>
      </c>
      <c r="O10" s="27">
        <v>-253059</v>
      </c>
      <c r="P10" s="27">
        <v>-289430</v>
      </c>
      <c r="Q10" s="27">
        <v>-559176</v>
      </c>
      <c r="R10" s="27">
        <v>-312758</v>
      </c>
      <c r="S10" s="27">
        <v>-563874</v>
      </c>
      <c r="T10" s="27">
        <v>-426780</v>
      </c>
    </row>
    <row r="11" spans="1:20" s="4" customFormat="1" ht="7.95" customHeight="1" x14ac:dyDescent="0.3">
      <c r="A11" s="23"/>
      <c r="B11" s="24"/>
      <c r="C11" s="25"/>
      <c r="D11" s="25"/>
      <c r="E11" s="25"/>
      <c r="F11" s="25"/>
      <c r="G11" s="25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s="4" customFormat="1" ht="15" customHeight="1" x14ac:dyDescent="0.3">
      <c r="A12" s="11" t="s">
        <v>20</v>
      </c>
      <c r="B12" s="12"/>
      <c r="C12" s="18"/>
      <c r="D12" s="18"/>
      <c r="E12" s="18"/>
      <c r="F12" s="18"/>
      <c r="G12" s="18"/>
      <c r="H12" s="18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s="4" customFormat="1" ht="15" customHeight="1" x14ac:dyDescent="0.3">
      <c r="A13" s="16" t="s">
        <v>56</v>
      </c>
      <c r="B13" s="17"/>
      <c r="C13" s="18">
        <v>0</v>
      </c>
      <c r="D13" s="18">
        <v>0</v>
      </c>
      <c r="E13" s="18">
        <v>0</v>
      </c>
      <c r="F13" s="19">
        <v>0</v>
      </c>
      <c r="G13" s="19">
        <v>0</v>
      </c>
      <c r="H13" s="19">
        <v>-143417</v>
      </c>
      <c r="I13" s="20">
        <v>-78772</v>
      </c>
      <c r="J13" s="20">
        <v>-75024</v>
      </c>
      <c r="K13" s="20">
        <v>-63689</v>
      </c>
      <c r="L13" s="20">
        <v>-62558</v>
      </c>
      <c r="M13" s="20">
        <v>-139948</v>
      </c>
      <c r="N13" s="20">
        <v>-74139</v>
      </c>
      <c r="O13" s="20">
        <v>-103075</v>
      </c>
      <c r="P13" s="20">
        <v>-230721</v>
      </c>
      <c r="Q13" s="20">
        <v>-106947</v>
      </c>
      <c r="R13" s="20">
        <v>-113604</v>
      </c>
      <c r="S13" s="20">
        <v>-114324</v>
      </c>
      <c r="T13" s="20">
        <v>-104400</v>
      </c>
    </row>
    <row r="14" spans="1:20" s="4" customFormat="1" ht="15" customHeight="1" x14ac:dyDescent="0.3">
      <c r="A14" s="16" t="s">
        <v>21</v>
      </c>
      <c r="B14" s="17"/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-173074</v>
      </c>
      <c r="I14" s="27">
        <v>-159951</v>
      </c>
      <c r="J14" s="27">
        <v>-151821</v>
      </c>
      <c r="K14" s="27">
        <v>-149236</v>
      </c>
      <c r="L14" s="27">
        <v>-141361</v>
      </c>
      <c r="M14" s="27">
        <v>-95762</v>
      </c>
      <c r="N14" s="27">
        <v>-85918</v>
      </c>
      <c r="O14" s="27">
        <v>-79070</v>
      </c>
      <c r="P14" s="27">
        <v>-84167</v>
      </c>
      <c r="Q14" s="27">
        <v>-76975</v>
      </c>
      <c r="R14" s="27">
        <v>-68486</v>
      </c>
      <c r="S14" s="27">
        <v>-60583</v>
      </c>
      <c r="T14" s="27">
        <v>-214781</v>
      </c>
    </row>
    <row r="15" spans="1:20" s="4" customFormat="1" ht="15" customHeight="1" x14ac:dyDescent="0.3">
      <c r="A15" s="16" t="s">
        <v>22</v>
      </c>
      <c r="B15" s="17"/>
      <c r="C15" s="18"/>
      <c r="D15" s="18"/>
      <c r="E15" s="18"/>
      <c r="F15" s="18"/>
      <c r="G15" s="18"/>
      <c r="H15" s="18"/>
      <c r="I15" s="27"/>
      <c r="J15" s="27"/>
      <c r="K15" s="27"/>
      <c r="L15" s="27"/>
      <c r="M15" s="27"/>
      <c r="N15" s="27"/>
      <c r="O15" s="27">
        <v>-12070</v>
      </c>
      <c r="P15" s="27">
        <v>-12894</v>
      </c>
      <c r="Q15" s="27">
        <v>-9961</v>
      </c>
      <c r="R15" s="27">
        <v>-9710</v>
      </c>
      <c r="S15" s="27">
        <v>-11221</v>
      </c>
      <c r="T15" s="27">
        <v>-17828</v>
      </c>
    </row>
    <row r="16" spans="1:20" s="4" customFormat="1" ht="15" customHeight="1" x14ac:dyDescent="0.3">
      <c r="A16" s="16" t="s">
        <v>23</v>
      </c>
      <c r="B16" s="17"/>
      <c r="C16" s="18">
        <v>-462697</v>
      </c>
      <c r="D16" s="18">
        <v>-228546</v>
      </c>
      <c r="E16" s="18">
        <v>-223047</v>
      </c>
      <c r="F16" s="18">
        <v>-223896</v>
      </c>
      <c r="G16" s="18">
        <v>-234771</v>
      </c>
      <c r="H16" s="18">
        <v>-244726</v>
      </c>
      <c r="I16" s="27">
        <v>-329851</v>
      </c>
      <c r="J16" s="27">
        <v>-305228</v>
      </c>
      <c r="K16" s="27">
        <v>-331539</v>
      </c>
      <c r="L16" s="27">
        <v>-261845</v>
      </c>
      <c r="M16" s="27">
        <v>-234498</v>
      </c>
      <c r="N16" s="27">
        <v>-272208</v>
      </c>
      <c r="O16" s="27">
        <v>-338392</v>
      </c>
      <c r="P16" s="27">
        <v>-303813</v>
      </c>
      <c r="Q16" s="27">
        <v>-333958</v>
      </c>
      <c r="R16" s="27">
        <v>-329435</v>
      </c>
      <c r="S16" s="27">
        <v>-342647</v>
      </c>
      <c r="T16" s="27">
        <v>-356102</v>
      </c>
    </row>
    <row r="17" spans="1:20" s="4" customFormat="1" ht="15" customHeight="1" x14ac:dyDescent="0.3">
      <c r="A17" s="16" t="s">
        <v>24</v>
      </c>
      <c r="B17" s="17"/>
      <c r="C17" s="18">
        <v>0</v>
      </c>
      <c r="D17" s="18">
        <v>-63604</v>
      </c>
      <c r="E17" s="18">
        <v>-68874</v>
      </c>
      <c r="F17" s="19">
        <v>-85224</v>
      </c>
      <c r="G17" s="19">
        <v>-64438</v>
      </c>
      <c r="H17" s="19">
        <v>-59823</v>
      </c>
      <c r="I17" s="20">
        <v>-65683</v>
      </c>
      <c r="J17" s="20">
        <v>-68307</v>
      </c>
      <c r="K17" s="20">
        <v>-70787</v>
      </c>
      <c r="L17" s="20">
        <v>-86165</v>
      </c>
      <c r="M17" s="20">
        <v>-80036</v>
      </c>
      <c r="N17" s="20">
        <v>-87150</v>
      </c>
      <c r="O17" s="20">
        <v>-79510</v>
      </c>
      <c r="P17" s="20">
        <v>-94480</v>
      </c>
      <c r="Q17" s="20">
        <v>-64694</v>
      </c>
      <c r="R17" s="20">
        <v>-86200</v>
      </c>
      <c r="S17" s="20">
        <v>-85075</v>
      </c>
      <c r="T17" s="20">
        <v>-86672</v>
      </c>
    </row>
    <row r="18" spans="1:20" s="4" customFormat="1" ht="15" customHeight="1" x14ac:dyDescent="0.3">
      <c r="A18" s="16" t="s">
        <v>17</v>
      </c>
      <c r="B18" s="17"/>
      <c r="C18" s="18">
        <v>0</v>
      </c>
      <c r="D18" s="18">
        <v>-147737</v>
      </c>
      <c r="E18" s="18">
        <v>-172366</v>
      </c>
      <c r="F18" s="18">
        <f>-(193641+75000)</f>
        <v>-268641</v>
      </c>
      <c r="G18" s="18">
        <v>-235371</v>
      </c>
      <c r="H18" s="18">
        <v>-8865</v>
      </c>
      <c r="I18" s="27">
        <v>-10567</v>
      </c>
      <c r="J18" s="27">
        <v>-25076</v>
      </c>
      <c r="K18" s="27">
        <v>-21642</v>
      </c>
      <c r="L18" s="27">
        <v>-33447</v>
      </c>
      <c r="M18" s="27">
        <v>-11787</v>
      </c>
      <c r="N18" s="27">
        <v>-9236</v>
      </c>
      <c r="O18" s="27">
        <v>-34921</v>
      </c>
      <c r="P18" s="27">
        <v>-33715</v>
      </c>
      <c r="Q18" s="27">
        <v>-24685</v>
      </c>
      <c r="R18" s="27">
        <v>-33648</v>
      </c>
      <c r="S18" s="27">
        <v>-55624</v>
      </c>
      <c r="T18" s="27">
        <v>-50600</v>
      </c>
    </row>
    <row r="19" spans="1:20" s="4" customFormat="1" ht="15" customHeight="1" x14ac:dyDescent="0.3">
      <c r="A19" s="24"/>
      <c r="B19" s="24" t="s">
        <v>25</v>
      </c>
      <c r="C19" s="25">
        <f t="shared" ref="C19:N19" si="5">SUM(C14:C18)</f>
        <v>-462697</v>
      </c>
      <c r="D19" s="25">
        <f t="shared" si="5"/>
        <v>-439887</v>
      </c>
      <c r="E19" s="25">
        <f t="shared" si="5"/>
        <v>-464287</v>
      </c>
      <c r="F19" s="25">
        <f t="shared" si="5"/>
        <v>-577761</v>
      </c>
      <c r="G19" s="25">
        <f t="shared" si="5"/>
        <v>-534580</v>
      </c>
      <c r="H19" s="25">
        <f t="shared" si="5"/>
        <v>-486488</v>
      </c>
      <c r="I19" s="26">
        <f t="shared" si="5"/>
        <v>-566052</v>
      </c>
      <c r="J19" s="26">
        <f t="shared" si="5"/>
        <v>-550432</v>
      </c>
      <c r="K19" s="26">
        <f t="shared" si="5"/>
        <v>-573204</v>
      </c>
      <c r="L19" s="26">
        <f t="shared" si="5"/>
        <v>-522818</v>
      </c>
      <c r="M19" s="26">
        <f t="shared" si="5"/>
        <v>-422083</v>
      </c>
      <c r="N19" s="26">
        <f t="shared" si="5"/>
        <v>-454512</v>
      </c>
      <c r="O19" s="26">
        <f t="shared" ref="O19:T19" si="6">SUM(O13:O18)</f>
        <v>-647038</v>
      </c>
      <c r="P19" s="26">
        <f t="shared" si="6"/>
        <v>-759790</v>
      </c>
      <c r="Q19" s="26">
        <f t="shared" si="6"/>
        <v>-617220</v>
      </c>
      <c r="R19" s="26">
        <f t="shared" si="6"/>
        <v>-641083</v>
      </c>
      <c r="S19" s="26">
        <f t="shared" si="6"/>
        <v>-669474</v>
      </c>
      <c r="T19" s="26">
        <f t="shared" si="6"/>
        <v>-830383</v>
      </c>
    </row>
    <row r="20" spans="1:20" s="4" customFormat="1" ht="15" customHeight="1" x14ac:dyDescent="0.3">
      <c r="A20" s="28"/>
      <c r="B20" s="28" t="s">
        <v>26</v>
      </c>
      <c r="C20" s="29">
        <f>C8+C10+C19</f>
        <v>1157733.5</v>
      </c>
      <c r="D20" s="29">
        <f>SUM(D6+D7+D10+D19)</f>
        <v>1290788</v>
      </c>
      <c r="E20" s="29">
        <f t="shared" ref="E20:R20" si="7">E8+E10+E19</f>
        <v>1452516.4</v>
      </c>
      <c r="F20" s="29">
        <f t="shared" si="7"/>
        <v>1642933</v>
      </c>
      <c r="G20" s="29">
        <f t="shared" si="7"/>
        <v>1920821</v>
      </c>
      <c r="H20" s="29">
        <f t="shared" si="7"/>
        <v>2814870</v>
      </c>
      <c r="I20" s="30">
        <f t="shared" si="7"/>
        <v>2686309.5</v>
      </c>
      <c r="J20" s="30">
        <f t="shared" si="7"/>
        <v>2454131.7999999998</v>
      </c>
      <c r="K20" s="30">
        <f t="shared" si="7"/>
        <v>2455061.2000000002</v>
      </c>
      <c r="L20" s="30">
        <f t="shared" si="7"/>
        <v>2386397.6</v>
      </c>
      <c r="M20" s="31">
        <f t="shared" si="7"/>
        <v>2234117.4</v>
      </c>
      <c r="N20" s="30">
        <f t="shared" si="7"/>
        <v>2446323</v>
      </c>
      <c r="O20" s="30">
        <f t="shared" si="7"/>
        <v>1632900</v>
      </c>
      <c r="P20" s="30">
        <f t="shared" ref="P20" si="8">P8+P10+P19</f>
        <v>1845527</v>
      </c>
      <c r="Q20" s="30">
        <f t="shared" si="7"/>
        <v>3788296</v>
      </c>
      <c r="R20" s="30">
        <f t="shared" si="7"/>
        <v>2952452</v>
      </c>
      <c r="S20" s="30">
        <f t="shared" ref="S20:T20" si="9">S8+S10+S19</f>
        <v>3626683</v>
      </c>
      <c r="T20" s="30">
        <f t="shared" si="9"/>
        <v>3010637</v>
      </c>
    </row>
    <row r="21" spans="1:20" s="4" customFormat="1" ht="15" customHeight="1" x14ac:dyDescent="0.3">
      <c r="A21" s="32"/>
      <c r="B21" s="33"/>
      <c r="C21" s="34"/>
      <c r="D21" s="34"/>
      <c r="E21" s="34"/>
      <c r="F21" s="34"/>
      <c r="G21" s="34"/>
      <c r="H21" s="34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s="4" customFormat="1" ht="15" customHeight="1" x14ac:dyDescent="0.3">
      <c r="A22" s="16" t="s">
        <v>27</v>
      </c>
      <c r="B22" s="17"/>
      <c r="C22" s="18">
        <v>-1055120</v>
      </c>
      <c r="D22" s="18">
        <v>-1133854</v>
      </c>
      <c r="E22" s="18">
        <v>-1312558</v>
      </c>
      <c r="F22" s="18">
        <v>-1402126</v>
      </c>
      <c r="G22" s="19">
        <v>-1463944</v>
      </c>
      <c r="H22" s="19">
        <v>-1652823</v>
      </c>
      <c r="I22" s="20">
        <v>-1820705</v>
      </c>
      <c r="J22" s="20">
        <v>-2016693</v>
      </c>
      <c r="K22" s="20">
        <v>-2000566</v>
      </c>
      <c r="L22" s="20">
        <v>-2173870</v>
      </c>
      <c r="M22" s="20">
        <v>-1939718</v>
      </c>
      <c r="N22" s="20">
        <v>-1847328</v>
      </c>
      <c r="O22" s="20">
        <v>-1659228</v>
      </c>
      <c r="P22" s="20">
        <v>-1950651</v>
      </c>
      <c r="Q22" s="20">
        <v>-2155854</v>
      </c>
      <c r="R22" s="20">
        <v>-2404244</v>
      </c>
      <c r="S22" s="20">
        <v>-2322505</v>
      </c>
      <c r="T22" s="20">
        <v>-2704524</v>
      </c>
    </row>
    <row r="23" spans="1:20" s="4" customFormat="1" ht="15" customHeight="1" x14ac:dyDescent="0.3">
      <c r="A23" s="16" t="s">
        <v>28</v>
      </c>
      <c r="B23" s="17"/>
      <c r="C23" s="14">
        <f>-(C22)/C6</f>
        <v>0.5906189038128371</v>
      </c>
      <c r="D23" s="14">
        <f>-D22/D6</f>
        <v>0.59306764247747989</v>
      </c>
      <c r="E23" s="14">
        <f>-E22/E6</f>
        <v>0.61929004423776668</v>
      </c>
      <c r="F23" s="14">
        <f>-(F22)/F6</f>
        <v>0.57748187808896212</v>
      </c>
      <c r="G23" s="14">
        <f>-(G22)/G6</f>
        <v>0.55827994386478741</v>
      </c>
      <c r="H23" s="14">
        <f>-(H22-45000-32500-10308)/H6</f>
        <v>0.48032830404024907</v>
      </c>
      <c r="I23" s="35">
        <f>-(I22-45000-32500-10308)/I6</f>
        <v>0.53653546915258332</v>
      </c>
      <c r="J23" s="35">
        <f>-(J22+J13)/J6</f>
        <v>0.63047353401099315</v>
      </c>
      <c r="K23" s="35">
        <f>-(K22+K13)/K6</f>
        <v>0.61760255004834896</v>
      </c>
      <c r="L23" s="35">
        <f t="shared" ref="L23:R23" si="10">-(L22)/L6</f>
        <v>0.67719401865478923</v>
      </c>
      <c r="M23" s="35">
        <f t="shared" si="10"/>
        <v>0.65904263198737711</v>
      </c>
      <c r="N23" s="35">
        <f t="shared" si="10"/>
        <v>0.65432814166965381</v>
      </c>
      <c r="O23" s="35">
        <f t="shared" si="10"/>
        <v>0.6638157318312915</v>
      </c>
      <c r="P23" s="35">
        <f t="shared" ref="P23" si="11">-(P22)/P6</f>
        <v>0.68719181366195736</v>
      </c>
      <c r="Q23" s="35">
        <f t="shared" si="10"/>
        <v>0.43856152655785835</v>
      </c>
      <c r="R23" s="35">
        <f t="shared" si="10"/>
        <v>0.62114671060756144</v>
      </c>
      <c r="S23" s="35">
        <f t="shared" ref="S23:T23" si="12">-(S22)/S6</f>
        <v>0.48512157778534382</v>
      </c>
      <c r="T23" s="35">
        <f t="shared" si="12"/>
        <v>0.64393428571428568</v>
      </c>
    </row>
    <row r="24" spans="1:20" s="23" customFormat="1" ht="15" customHeight="1" x14ac:dyDescent="0.3">
      <c r="A24" s="28"/>
      <c r="B24" s="28" t="s">
        <v>29</v>
      </c>
      <c r="C24" s="29">
        <f t="shared" ref="C24:R24" si="13">C20+C22</f>
        <v>102613.5</v>
      </c>
      <c r="D24" s="29">
        <f t="shared" si="13"/>
        <v>156934</v>
      </c>
      <c r="E24" s="29">
        <f t="shared" si="13"/>
        <v>139958.39999999991</v>
      </c>
      <c r="F24" s="29">
        <f t="shared" si="13"/>
        <v>240807</v>
      </c>
      <c r="G24" s="29">
        <f t="shared" si="13"/>
        <v>456877</v>
      </c>
      <c r="H24" s="29">
        <f t="shared" si="13"/>
        <v>1162047</v>
      </c>
      <c r="I24" s="30">
        <f t="shared" si="13"/>
        <v>865604.5</v>
      </c>
      <c r="J24" s="30">
        <f t="shared" si="13"/>
        <v>437438.79999999981</v>
      </c>
      <c r="K24" s="30">
        <f t="shared" si="13"/>
        <v>454495.20000000019</v>
      </c>
      <c r="L24" s="30">
        <f t="shared" si="13"/>
        <v>212527.60000000009</v>
      </c>
      <c r="M24" s="31">
        <f t="shared" si="13"/>
        <v>294399.39999999991</v>
      </c>
      <c r="N24" s="30">
        <f t="shared" si="13"/>
        <v>598995</v>
      </c>
      <c r="O24" s="30">
        <f t="shared" si="13"/>
        <v>-26328</v>
      </c>
      <c r="P24" s="30">
        <f t="shared" ref="P24" si="14">P20+P22</f>
        <v>-105124</v>
      </c>
      <c r="Q24" s="30">
        <f t="shared" si="13"/>
        <v>1632442</v>
      </c>
      <c r="R24" s="30">
        <f t="shared" si="13"/>
        <v>548208</v>
      </c>
      <c r="S24" s="30">
        <f t="shared" ref="S24:T24" si="15">S20+S22</f>
        <v>1304178</v>
      </c>
      <c r="T24" s="30">
        <f t="shared" si="15"/>
        <v>306113</v>
      </c>
    </row>
    <row r="25" spans="1:20" s="4" customFormat="1" ht="15" customHeight="1" x14ac:dyDescent="0.3">
      <c r="A25" s="36" t="s">
        <v>30</v>
      </c>
      <c r="B25" s="33"/>
      <c r="C25" s="25"/>
      <c r="D25" s="25"/>
      <c r="E25" s="25"/>
      <c r="F25" s="37"/>
      <c r="G25" s="37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s="4" customFormat="1" ht="15" customHeight="1" x14ac:dyDescent="0.3">
      <c r="A26" s="16" t="s">
        <v>31</v>
      </c>
      <c r="B26" s="39" t="s">
        <v>32</v>
      </c>
      <c r="C26" s="40">
        <v>176867</v>
      </c>
      <c r="D26" s="40">
        <v>115145.89</v>
      </c>
      <c r="E26" s="40">
        <v>136147</v>
      </c>
      <c r="F26" s="18">
        <v>177537</v>
      </c>
      <c r="G26" s="18">
        <v>120652</v>
      </c>
      <c r="H26" s="18">
        <v>138706</v>
      </c>
      <c r="I26" s="27">
        <v>164174</v>
      </c>
      <c r="J26" s="27">
        <v>260623</v>
      </c>
      <c r="K26" s="27">
        <v>214958</v>
      </c>
      <c r="L26" s="27">
        <v>461294</v>
      </c>
      <c r="M26" s="27">
        <v>151379</v>
      </c>
      <c r="N26" s="27">
        <v>552600</v>
      </c>
      <c r="O26" s="27">
        <v>393355</v>
      </c>
      <c r="P26" s="27">
        <v>282536</v>
      </c>
      <c r="Q26" s="71">
        <v>241986</v>
      </c>
      <c r="R26" s="27">
        <v>206610</v>
      </c>
      <c r="S26" s="27">
        <v>154218</v>
      </c>
      <c r="T26" s="27">
        <v>203000</v>
      </c>
    </row>
    <row r="27" spans="1:20" s="4" customFormat="1" ht="15" customHeight="1" x14ac:dyDescent="0.3">
      <c r="A27" s="23"/>
      <c r="B27" s="41" t="s">
        <v>33</v>
      </c>
      <c r="C27" s="18">
        <v>-157346</v>
      </c>
      <c r="D27" s="18">
        <v>-116247.65</v>
      </c>
      <c r="E27" s="18">
        <v>-132805</v>
      </c>
      <c r="F27" s="18">
        <v>-167094</v>
      </c>
      <c r="G27" s="18">
        <v>-123936</v>
      </c>
      <c r="H27" s="18">
        <v>-141437</v>
      </c>
      <c r="I27" s="27">
        <v>-154181</v>
      </c>
      <c r="J27" s="27">
        <v>-252242</v>
      </c>
      <c r="K27" s="27">
        <v>-211952</v>
      </c>
      <c r="L27" s="27">
        <v>-460775</v>
      </c>
      <c r="M27" s="27">
        <v>-146096</v>
      </c>
      <c r="N27" s="27">
        <v>-554758</v>
      </c>
      <c r="O27" s="27">
        <v>-392601</v>
      </c>
      <c r="P27" s="27">
        <v>-282693</v>
      </c>
      <c r="Q27" s="71">
        <v>-239466</v>
      </c>
      <c r="R27" s="27">
        <v>-212606</v>
      </c>
      <c r="S27" s="27">
        <v>-140476</v>
      </c>
      <c r="T27" s="27">
        <v>-210000</v>
      </c>
    </row>
    <row r="28" spans="1:20" s="4" customFormat="1" ht="15" customHeight="1" x14ac:dyDescent="0.3">
      <c r="A28" s="23"/>
      <c r="B28" s="42" t="s">
        <v>34</v>
      </c>
      <c r="C28" s="37">
        <f>C26+C27</f>
        <v>19521</v>
      </c>
      <c r="D28" s="37">
        <f>SUM(D26:D27)</f>
        <v>-1101.7599999999948</v>
      </c>
      <c r="E28" s="37">
        <f>SUM(E26:E27)</f>
        <v>3342</v>
      </c>
      <c r="F28" s="37">
        <f t="shared" ref="F28:R28" si="16">SUM(F26:F27)</f>
        <v>10443</v>
      </c>
      <c r="G28" s="37">
        <f t="shared" si="16"/>
        <v>-3284</v>
      </c>
      <c r="H28" s="37">
        <f t="shared" si="16"/>
        <v>-2731</v>
      </c>
      <c r="I28" s="38">
        <f t="shared" si="16"/>
        <v>9993</v>
      </c>
      <c r="J28" s="38">
        <f t="shared" si="16"/>
        <v>8381</v>
      </c>
      <c r="K28" s="38">
        <f t="shared" si="16"/>
        <v>3006</v>
      </c>
      <c r="L28" s="38">
        <f t="shared" si="16"/>
        <v>519</v>
      </c>
      <c r="M28" s="38">
        <f t="shared" si="16"/>
        <v>5283</v>
      </c>
      <c r="N28" s="38">
        <f t="shared" si="16"/>
        <v>-2158</v>
      </c>
      <c r="O28" s="38">
        <f t="shared" si="16"/>
        <v>754</v>
      </c>
      <c r="P28" s="38">
        <f t="shared" ref="P28" si="17">SUM(P26:P27)</f>
        <v>-157</v>
      </c>
      <c r="Q28" s="72">
        <f t="shared" si="16"/>
        <v>2520</v>
      </c>
      <c r="R28" s="38">
        <f t="shared" si="16"/>
        <v>-5996</v>
      </c>
      <c r="S28" s="38">
        <f t="shared" ref="S28:T28" si="18">SUM(S26:S27)</f>
        <v>13742</v>
      </c>
      <c r="T28" s="38">
        <f t="shared" si="18"/>
        <v>-7000</v>
      </c>
    </row>
    <row r="29" spans="1:20" s="4" customFormat="1" ht="15" customHeight="1" x14ac:dyDescent="0.3">
      <c r="A29" s="43" t="s">
        <v>35</v>
      </c>
      <c r="B29" s="41" t="s">
        <v>32</v>
      </c>
      <c r="C29" s="44">
        <v>55803</v>
      </c>
      <c r="D29" s="18">
        <v>69068.039999999994</v>
      </c>
      <c r="E29" s="18">
        <v>68344</v>
      </c>
      <c r="F29" s="18">
        <v>72773</v>
      </c>
      <c r="G29" s="18">
        <v>70583</v>
      </c>
      <c r="H29" s="18">
        <v>71198</v>
      </c>
      <c r="I29" s="27">
        <v>62842</v>
      </c>
      <c r="J29" s="27">
        <v>66499</v>
      </c>
      <c r="K29" s="27">
        <v>67807</v>
      </c>
      <c r="L29" s="27">
        <v>46801</v>
      </c>
      <c r="M29" s="27">
        <v>980</v>
      </c>
      <c r="N29" s="27">
        <v>7768</v>
      </c>
      <c r="O29" s="27">
        <v>10150</v>
      </c>
      <c r="P29" s="27">
        <v>11781</v>
      </c>
      <c r="Q29" s="27">
        <v>12423</v>
      </c>
      <c r="R29" s="27">
        <v>14160</v>
      </c>
      <c r="S29" s="27">
        <v>17543</v>
      </c>
      <c r="T29" s="27">
        <v>31080</v>
      </c>
    </row>
    <row r="30" spans="1:20" s="4" customFormat="1" ht="15" customHeight="1" x14ac:dyDescent="0.3">
      <c r="A30" s="23"/>
      <c r="B30" s="41" t="s">
        <v>33</v>
      </c>
      <c r="C30" s="44">
        <v>-60148</v>
      </c>
      <c r="D30" s="18">
        <v>-61447.64</v>
      </c>
      <c r="E30" s="18">
        <v>-92688</v>
      </c>
      <c r="F30" s="18">
        <v>-39004</v>
      </c>
      <c r="G30" s="18">
        <v>-41861</v>
      </c>
      <c r="H30" s="18">
        <v>-43250</v>
      </c>
      <c r="I30" s="27">
        <v>-40152</v>
      </c>
      <c r="J30" s="27">
        <v>-43962</v>
      </c>
      <c r="K30" s="27">
        <v>-43757</v>
      </c>
      <c r="L30" s="27">
        <v>-32427</v>
      </c>
      <c r="M30" s="27">
        <v>-2388</v>
      </c>
      <c r="N30" s="27">
        <v>-7331</v>
      </c>
      <c r="O30" s="27">
        <v>-8117</v>
      </c>
      <c r="P30" s="27">
        <v>-10861</v>
      </c>
      <c r="Q30" s="27">
        <v>-11693</v>
      </c>
      <c r="R30" s="27">
        <v>-13498</v>
      </c>
      <c r="S30" s="27">
        <v>-13820</v>
      </c>
      <c r="T30" s="27">
        <v>-17368</v>
      </c>
    </row>
    <row r="31" spans="1:20" s="4" customFormat="1" ht="15" customHeight="1" x14ac:dyDescent="0.3">
      <c r="A31" s="23"/>
      <c r="B31" s="42" t="s">
        <v>34</v>
      </c>
      <c r="C31" s="37">
        <f>C29+C30</f>
        <v>-4345</v>
      </c>
      <c r="D31" s="37">
        <f t="shared" ref="D31:R31" si="19">SUM(D29:D30)</f>
        <v>7620.3999999999942</v>
      </c>
      <c r="E31" s="37">
        <f t="shared" si="19"/>
        <v>-24344</v>
      </c>
      <c r="F31" s="37">
        <f t="shared" si="19"/>
        <v>33769</v>
      </c>
      <c r="G31" s="37">
        <f t="shared" si="19"/>
        <v>28722</v>
      </c>
      <c r="H31" s="37">
        <f t="shared" si="19"/>
        <v>27948</v>
      </c>
      <c r="I31" s="38">
        <f t="shared" si="19"/>
        <v>22690</v>
      </c>
      <c r="J31" s="38">
        <f t="shared" si="19"/>
        <v>22537</v>
      </c>
      <c r="K31" s="38">
        <f t="shared" si="19"/>
        <v>24050</v>
      </c>
      <c r="L31" s="38">
        <f t="shared" si="19"/>
        <v>14374</v>
      </c>
      <c r="M31" s="38">
        <f t="shared" si="19"/>
        <v>-1408</v>
      </c>
      <c r="N31" s="38">
        <f t="shared" si="19"/>
        <v>437</v>
      </c>
      <c r="O31" s="38">
        <f t="shared" si="19"/>
        <v>2033</v>
      </c>
      <c r="P31" s="38">
        <f t="shared" ref="P31" si="20">SUM(P29:P30)</f>
        <v>920</v>
      </c>
      <c r="Q31" s="38">
        <f t="shared" si="19"/>
        <v>730</v>
      </c>
      <c r="R31" s="38">
        <f t="shared" si="19"/>
        <v>662</v>
      </c>
      <c r="S31" s="38">
        <f t="shared" ref="S31:T31" si="21">SUM(S29:S30)</f>
        <v>3723</v>
      </c>
      <c r="T31" s="38">
        <f t="shared" si="21"/>
        <v>13712</v>
      </c>
    </row>
    <row r="32" spans="1:20" s="4" customFormat="1" ht="15" customHeight="1" x14ac:dyDescent="0.3">
      <c r="A32" s="43" t="s">
        <v>36</v>
      </c>
      <c r="B32" s="41" t="s">
        <v>32</v>
      </c>
      <c r="C32" s="44">
        <v>253506</v>
      </c>
      <c r="D32" s="18">
        <v>278531.69</v>
      </c>
      <c r="E32" s="18">
        <v>281303</v>
      </c>
      <c r="F32" s="18">
        <v>258933</v>
      </c>
      <c r="G32" s="18">
        <v>258089</v>
      </c>
      <c r="H32" s="18">
        <v>250242</v>
      </c>
      <c r="I32" s="27">
        <v>272222</v>
      </c>
      <c r="J32" s="27">
        <v>276046</v>
      </c>
      <c r="K32" s="27">
        <v>304821</v>
      </c>
      <c r="L32" s="27">
        <v>285883</v>
      </c>
      <c r="M32" s="27">
        <v>362366</v>
      </c>
      <c r="N32" s="27">
        <v>454486</v>
      </c>
      <c r="O32" s="27">
        <v>521408</v>
      </c>
      <c r="P32" s="27">
        <v>686905</v>
      </c>
      <c r="Q32" s="27">
        <v>719776</v>
      </c>
      <c r="R32" s="27">
        <v>675244</v>
      </c>
      <c r="S32" s="27">
        <v>692227</v>
      </c>
      <c r="T32" s="27">
        <v>691191</v>
      </c>
    </row>
    <row r="33" spans="1:20" s="4" customFormat="1" ht="15" customHeight="1" x14ac:dyDescent="0.3">
      <c r="A33" s="23"/>
      <c r="B33" s="41" t="s">
        <v>33</v>
      </c>
      <c r="C33" s="44">
        <v>-202671</v>
      </c>
      <c r="D33" s="18">
        <v>-235628.54</v>
      </c>
      <c r="E33" s="18">
        <v>-236168</v>
      </c>
      <c r="F33" s="18">
        <v>-231811</v>
      </c>
      <c r="G33" s="18">
        <v>-245762</v>
      </c>
      <c r="H33" s="18">
        <v>-248048</v>
      </c>
      <c r="I33" s="27">
        <v>-266583</v>
      </c>
      <c r="J33" s="27">
        <v>-263258</v>
      </c>
      <c r="K33" s="27">
        <v>-286812</v>
      </c>
      <c r="L33" s="27">
        <v>-295222</v>
      </c>
      <c r="M33" s="27">
        <v>-353324</v>
      </c>
      <c r="N33" s="27">
        <v>-395951</v>
      </c>
      <c r="O33" s="27">
        <v>-403643</v>
      </c>
      <c r="P33" s="27">
        <v>-552958</v>
      </c>
      <c r="Q33" s="27">
        <v>-559218</v>
      </c>
      <c r="R33" s="27">
        <v>-600712</v>
      </c>
      <c r="S33" s="27">
        <v>-567667</v>
      </c>
      <c r="T33" s="27">
        <v>-613990</v>
      </c>
    </row>
    <row r="34" spans="1:20" s="4" customFormat="1" ht="15" customHeight="1" x14ac:dyDescent="0.3">
      <c r="A34" s="23"/>
      <c r="B34" s="42" t="s">
        <v>34</v>
      </c>
      <c r="C34" s="37">
        <f>C32+C33</f>
        <v>50835</v>
      </c>
      <c r="D34" s="37">
        <f t="shared" ref="D34:E34" si="22">D32+D33</f>
        <v>42903.149999999994</v>
      </c>
      <c r="E34" s="37">
        <f t="shared" si="22"/>
        <v>45135</v>
      </c>
      <c r="F34" s="37">
        <f t="shared" ref="F34:R34" si="23">SUM(F32:F33)</f>
        <v>27122</v>
      </c>
      <c r="G34" s="37">
        <f t="shared" si="23"/>
        <v>12327</v>
      </c>
      <c r="H34" s="37">
        <f t="shared" si="23"/>
        <v>2194</v>
      </c>
      <c r="I34" s="38">
        <f t="shared" si="23"/>
        <v>5639</v>
      </c>
      <c r="J34" s="38">
        <f t="shared" si="23"/>
        <v>12788</v>
      </c>
      <c r="K34" s="38">
        <f t="shared" si="23"/>
        <v>18009</v>
      </c>
      <c r="L34" s="38">
        <f t="shared" si="23"/>
        <v>-9339</v>
      </c>
      <c r="M34" s="38">
        <f t="shared" si="23"/>
        <v>9042</v>
      </c>
      <c r="N34" s="38">
        <f t="shared" si="23"/>
        <v>58535</v>
      </c>
      <c r="O34" s="38">
        <f t="shared" si="23"/>
        <v>117765</v>
      </c>
      <c r="P34" s="38">
        <f t="shared" ref="P34" si="24">SUM(P32:P33)</f>
        <v>133947</v>
      </c>
      <c r="Q34" s="38">
        <f t="shared" si="23"/>
        <v>160558</v>
      </c>
      <c r="R34" s="38">
        <f t="shared" si="23"/>
        <v>74532</v>
      </c>
      <c r="S34" s="38">
        <f t="shared" ref="S34:T34" si="25">SUM(S32:S33)</f>
        <v>124560</v>
      </c>
      <c r="T34" s="38">
        <f t="shared" si="25"/>
        <v>77201</v>
      </c>
    </row>
    <row r="35" spans="1:20" s="4" customFormat="1" ht="15" customHeight="1" x14ac:dyDescent="0.3">
      <c r="A35" s="32" t="s">
        <v>37</v>
      </c>
      <c r="B35" s="41" t="s">
        <v>32</v>
      </c>
      <c r="C35" s="18">
        <v>24679</v>
      </c>
      <c r="D35" s="18">
        <v>22402.15</v>
      </c>
      <c r="E35" s="18">
        <v>15862</v>
      </c>
      <c r="F35" s="18">
        <v>14351</v>
      </c>
      <c r="G35" s="18">
        <v>13287</v>
      </c>
      <c r="H35" s="18">
        <v>9903</v>
      </c>
      <c r="I35" s="27">
        <f>10845+1815</f>
        <v>12660</v>
      </c>
      <c r="J35" s="27">
        <v>11068</v>
      </c>
      <c r="K35" s="27">
        <f>1794+13049</f>
        <v>14843</v>
      </c>
      <c r="L35" s="27">
        <f>2515+6453</f>
        <v>8968</v>
      </c>
      <c r="M35" s="27">
        <v>7805</v>
      </c>
      <c r="N35" s="27">
        <f>1434+6938</f>
        <v>8372</v>
      </c>
      <c r="O35" s="27">
        <v>22617</v>
      </c>
      <c r="P35" s="27">
        <v>26437</v>
      </c>
      <c r="Q35" s="27">
        <v>29620</v>
      </c>
      <c r="R35" s="27">
        <v>38460</v>
      </c>
      <c r="S35" s="27">
        <v>33551</v>
      </c>
      <c r="T35" s="27">
        <v>38900</v>
      </c>
    </row>
    <row r="36" spans="1:20" s="4" customFormat="1" ht="15" customHeight="1" x14ac:dyDescent="0.3">
      <c r="A36" s="23"/>
      <c r="B36" s="41" t="s">
        <v>33</v>
      </c>
      <c r="C36" s="18">
        <v>-23521</v>
      </c>
      <c r="D36" s="18">
        <v>-20591.57</v>
      </c>
      <c r="E36" s="18">
        <v>-21051</v>
      </c>
      <c r="F36" s="18">
        <v>-24927</v>
      </c>
      <c r="G36" s="18">
        <v>-22536</v>
      </c>
      <c r="H36" s="18">
        <v>-20034</v>
      </c>
      <c r="I36" s="27">
        <f>-(17284+2956)</f>
        <v>-20240</v>
      </c>
      <c r="J36" s="27">
        <v>-20459</v>
      </c>
      <c r="K36" s="27">
        <f>-(6346+17963)</f>
        <v>-24309</v>
      </c>
      <c r="L36" s="27">
        <f>-(4170+12542)</f>
        <v>-16712</v>
      </c>
      <c r="M36" s="27">
        <f>-(693+17129)</f>
        <v>-17822</v>
      </c>
      <c r="N36" s="27">
        <f>-(2058+10406)</f>
        <v>-12464</v>
      </c>
      <c r="O36" s="27">
        <v>-28894</v>
      </c>
      <c r="P36" s="27">
        <v>-39353</v>
      </c>
      <c r="Q36" s="27">
        <v>-29541</v>
      </c>
      <c r="R36" s="27">
        <v>-54149</v>
      </c>
      <c r="S36" s="27">
        <v>-48088</v>
      </c>
      <c r="T36" s="27">
        <v>-54535</v>
      </c>
    </row>
    <row r="37" spans="1:20" s="4" customFormat="1" ht="15" customHeight="1" x14ac:dyDescent="0.3">
      <c r="A37" s="23"/>
      <c r="B37" s="42" t="s">
        <v>34</v>
      </c>
      <c r="C37" s="37">
        <f>C35+C36</f>
        <v>1158</v>
      </c>
      <c r="D37" s="37">
        <f t="shared" ref="D37:E37" si="26">D35+D36</f>
        <v>1810.5800000000017</v>
      </c>
      <c r="E37" s="37">
        <f t="shared" si="26"/>
        <v>-5189</v>
      </c>
      <c r="F37" s="37">
        <f t="shared" ref="F37:R37" si="27">SUM(F35:F36)</f>
        <v>-10576</v>
      </c>
      <c r="G37" s="37">
        <f t="shared" si="27"/>
        <v>-9249</v>
      </c>
      <c r="H37" s="37">
        <f t="shared" si="27"/>
        <v>-10131</v>
      </c>
      <c r="I37" s="38">
        <f t="shared" si="27"/>
        <v>-7580</v>
      </c>
      <c r="J37" s="38">
        <f t="shared" si="27"/>
        <v>-9391</v>
      </c>
      <c r="K37" s="38">
        <f t="shared" si="27"/>
        <v>-9466</v>
      </c>
      <c r="L37" s="38">
        <f t="shared" si="27"/>
        <v>-7744</v>
      </c>
      <c r="M37" s="38">
        <f t="shared" si="27"/>
        <v>-10017</v>
      </c>
      <c r="N37" s="38">
        <f t="shared" si="27"/>
        <v>-4092</v>
      </c>
      <c r="O37" s="38">
        <f t="shared" si="27"/>
        <v>-6277</v>
      </c>
      <c r="P37" s="38">
        <f t="shared" ref="P37" si="28">SUM(P35:P36)</f>
        <v>-12916</v>
      </c>
      <c r="Q37" s="38">
        <f t="shared" si="27"/>
        <v>79</v>
      </c>
      <c r="R37" s="38">
        <f t="shared" si="27"/>
        <v>-15689</v>
      </c>
      <c r="S37" s="38">
        <f t="shared" ref="S37:T37" si="29">SUM(S35:S36)</f>
        <v>-14537</v>
      </c>
      <c r="T37" s="38">
        <f t="shared" si="29"/>
        <v>-15635</v>
      </c>
    </row>
    <row r="38" spans="1:20" s="4" customFormat="1" ht="15" customHeight="1" x14ac:dyDescent="0.3">
      <c r="A38" s="32" t="s">
        <v>38</v>
      </c>
      <c r="B38" s="41" t="s">
        <v>32</v>
      </c>
      <c r="C38" s="18">
        <v>24679</v>
      </c>
      <c r="D38" s="18">
        <v>22402.15</v>
      </c>
      <c r="E38" s="18">
        <v>15862</v>
      </c>
      <c r="F38" s="18">
        <v>14351</v>
      </c>
      <c r="G38" s="18">
        <v>13287</v>
      </c>
      <c r="H38" s="18">
        <v>9903</v>
      </c>
      <c r="I38" s="27">
        <f>10845+1815</f>
        <v>12660</v>
      </c>
      <c r="J38" s="27">
        <v>11068</v>
      </c>
      <c r="K38" s="27">
        <f>1794+13049</f>
        <v>14843</v>
      </c>
      <c r="L38" s="27">
        <f>2515+6453</f>
        <v>8968</v>
      </c>
      <c r="M38" s="27">
        <v>7805</v>
      </c>
      <c r="N38" s="27">
        <f>1434+6938</f>
        <v>8372</v>
      </c>
      <c r="O38" s="27">
        <v>46423</v>
      </c>
      <c r="P38" s="27">
        <v>55602</v>
      </c>
      <c r="Q38" s="27">
        <v>64825</v>
      </c>
      <c r="R38" s="27">
        <v>67625</v>
      </c>
      <c r="S38" s="27">
        <v>71457</v>
      </c>
      <c r="T38" s="27">
        <v>73270</v>
      </c>
    </row>
    <row r="39" spans="1:20" s="4" customFormat="1" ht="15" customHeight="1" x14ac:dyDescent="0.3">
      <c r="A39" s="23"/>
      <c r="B39" s="41" t="s">
        <v>33</v>
      </c>
      <c r="C39" s="18">
        <v>-23521</v>
      </c>
      <c r="D39" s="18">
        <v>-20591.57</v>
      </c>
      <c r="E39" s="18">
        <v>-21051</v>
      </c>
      <c r="F39" s="18">
        <v>-24927</v>
      </c>
      <c r="G39" s="18">
        <v>-22536</v>
      </c>
      <c r="H39" s="18">
        <v>-20034</v>
      </c>
      <c r="I39" s="27">
        <f>-(17284+2956)</f>
        <v>-20240</v>
      </c>
      <c r="J39" s="27">
        <v>-20459</v>
      </c>
      <c r="K39" s="27">
        <f>-(6346+17963)</f>
        <v>-24309</v>
      </c>
      <c r="L39" s="27">
        <f>-(4170+12542)</f>
        <v>-16712</v>
      </c>
      <c r="M39" s="27">
        <f>-(693+17129)</f>
        <v>-17822</v>
      </c>
      <c r="N39" s="27">
        <f>-(2058+10406)</f>
        <v>-12464</v>
      </c>
      <c r="O39" s="27">
        <v>-55312</v>
      </c>
      <c r="P39" s="27">
        <v>-59859</v>
      </c>
      <c r="Q39" s="27">
        <v>-71013</v>
      </c>
      <c r="R39" s="27">
        <v>-81850</v>
      </c>
      <c r="S39" s="27">
        <v>-84729</v>
      </c>
      <c r="T39" s="27">
        <v>-83250</v>
      </c>
    </row>
    <row r="40" spans="1:20" s="4" customFormat="1" ht="15" customHeight="1" x14ac:dyDescent="0.3">
      <c r="A40" s="23"/>
      <c r="B40" s="42" t="s">
        <v>34</v>
      </c>
      <c r="C40" s="37">
        <f>C38+C39</f>
        <v>1158</v>
      </c>
      <c r="D40" s="37">
        <f t="shared" ref="D40:E40" si="30">D38+D39</f>
        <v>1810.5800000000017</v>
      </c>
      <c r="E40" s="37">
        <f t="shared" si="30"/>
        <v>-5189</v>
      </c>
      <c r="F40" s="37">
        <f t="shared" ref="F40:R40" si="31">SUM(F38:F39)</f>
        <v>-10576</v>
      </c>
      <c r="G40" s="37">
        <f t="shared" si="31"/>
        <v>-9249</v>
      </c>
      <c r="H40" s="37">
        <f t="shared" si="31"/>
        <v>-10131</v>
      </c>
      <c r="I40" s="38">
        <f t="shared" si="31"/>
        <v>-7580</v>
      </c>
      <c r="J40" s="38">
        <f t="shared" si="31"/>
        <v>-9391</v>
      </c>
      <c r="K40" s="38">
        <f t="shared" si="31"/>
        <v>-9466</v>
      </c>
      <c r="L40" s="38">
        <f t="shared" si="31"/>
        <v>-7744</v>
      </c>
      <c r="M40" s="38">
        <f t="shared" si="31"/>
        <v>-10017</v>
      </c>
      <c r="N40" s="38">
        <f t="shared" si="31"/>
        <v>-4092</v>
      </c>
      <c r="O40" s="38">
        <f t="shared" si="31"/>
        <v>-8889</v>
      </c>
      <c r="P40" s="38">
        <f t="shared" ref="P40" si="32">SUM(P38:P39)</f>
        <v>-4257</v>
      </c>
      <c r="Q40" s="38">
        <f t="shared" si="31"/>
        <v>-6188</v>
      </c>
      <c r="R40" s="38">
        <f t="shared" si="31"/>
        <v>-14225</v>
      </c>
      <c r="S40" s="38">
        <f t="shared" ref="S40:T40" si="33">SUM(S38:S39)</f>
        <v>-13272</v>
      </c>
      <c r="T40" s="38">
        <f t="shared" si="33"/>
        <v>-9980</v>
      </c>
    </row>
    <row r="41" spans="1:20" s="4" customFormat="1" ht="15" customHeight="1" x14ac:dyDescent="0.3">
      <c r="A41" s="16" t="s">
        <v>39</v>
      </c>
      <c r="B41" s="41" t="s">
        <v>32</v>
      </c>
      <c r="C41" s="44">
        <v>0</v>
      </c>
      <c r="D41" s="18">
        <v>16851.27</v>
      </c>
      <c r="E41" s="18">
        <v>9227</v>
      </c>
      <c r="F41" s="18">
        <v>3200</v>
      </c>
      <c r="G41" s="18">
        <v>8289</v>
      </c>
      <c r="H41" s="18">
        <v>-1641</v>
      </c>
      <c r="I41" s="27">
        <v>200</v>
      </c>
      <c r="J41" s="27">
        <v>9775</v>
      </c>
      <c r="K41" s="27">
        <v>1221</v>
      </c>
      <c r="L41" s="27">
        <v>531</v>
      </c>
      <c r="M41" s="27">
        <v>0</v>
      </c>
      <c r="N41" s="27">
        <v>0</v>
      </c>
      <c r="O41" s="27">
        <v>3781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</row>
    <row r="42" spans="1:20" s="4" customFormat="1" ht="15" customHeight="1" x14ac:dyDescent="0.3">
      <c r="A42" s="23"/>
      <c r="B42" s="41" t="s">
        <v>33</v>
      </c>
      <c r="C42" s="44">
        <v>0</v>
      </c>
      <c r="D42" s="18">
        <v>-15571.92</v>
      </c>
      <c r="E42" s="18">
        <v>-1436</v>
      </c>
      <c r="F42" s="18">
        <v>-5013</v>
      </c>
      <c r="G42" s="18">
        <v>-11829</v>
      </c>
      <c r="H42" s="18">
        <v>-8078</v>
      </c>
      <c r="I42" s="27">
        <v>-7524</v>
      </c>
      <c r="J42" s="27">
        <v>-16191</v>
      </c>
      <c r="K42" s="27">
        <v>-8431</v>
      </c>
      <c r="L42" s="27">
        <v>-4387</v>
      </c>
      <c r="M42" s="27">
        <v>-2370</v>
      </c>
      <c r="N42" s="27">
        <v>-4217</v>
      </c>
      <c r="O42" s="27">
        <v>-7830</v>
      </c>
      <c r="P42" s="27">
        <v>-7900</v>
      </c>
      <c r="Q42" s="27">
        <v>-5386</v>
      </c>
      <c r="R42" s="27">
        <v>-7558</v>
      </c>
      <c r="S42" s="27">
        <v>-9133</v>
      </c>
      <c r="T42" s="27">
        <v>-9318</v>
      </c>
    </row>
    <row r="43" spans="1:20" s="4" customFormat="1" ht="15" customHeight="1" x14ac:dyDescent="0.3">
      <c r="A43" s="23"/>
      <c r="B43" s="42" t="s">
        <v>34</v>
      </c>
      <c r="C43" s="37">
        <f>C41+C42</f>
        <v>0</v>
      </c>
      <c r="D43" s="37">
        <f t="shared" ref="D43:E43" si="34">D41+D42</f>
        <v>1279.3500000000004</v>
      </c>
      <c r="E43" s="37">
        <f t="shared" si="34"/>
        <v>7791</v>
      </c>
      <c r="F43" s="37">
        <f t="shared" ref="F43:J43" si="35">SUM(F41:F42)</f>
        <v>-1813</v>
      </c>
      <c r="G43" s="37">
        <f t="shared" si="35"/>
        <v>-3540</v>
      </c>
      <c r="H43" s="37">
        <f t="shared" si="35"/>
        <v>-9719</v>
      </c>
      <c r="I43" s="38">
        <f t="shared" si="35"/>
        <v>-7324</v>
      </c>
      <c r="J43" s="38">
        <f t="shared" si="35"/>
        <v>-6416</v>
      </c>
      <c r="K43" s="38">
        <f t="shared" ref="K43:M43" si="36">K41+K42</f>
        <v>-7210</v>
      </c>
      <c r="L43" s="38">
        <f t="shared" si="36"/>
        <v>-3856</v>
      </c>
      <c r="M43" s="38">
        <f t="shared" si="36"/>
        <v>-2370</v>
      </c>
      <c r="N43" s="38">
        <f>SUM(N41:N42)</f>
        <v>-4217</v>
      </c>
      <c r="O43" s="38">
        <f>SUM(O41:O42)</f>
        <v>-4049</v>
      </c>
      <c r="P43" s="38">
        <f>SUM(P41:P42)</f>
        <v>-7900</v>
      </c>
      <c r="Q43" s="38">
        <f t="shared" ref="Q43:S43" si="37">SUM(Q41:Q42)</f>
        <v>-5386</v>
      </c>
      <c r="R43" s="38">
        <f t="shared" ref="R43" si="38">R41+R42</f>
        <v>-7558</v>
      </c>
      <c r="S43" s="38">
        <f t="shared" si="37"/>
        <v>-9133</v>
      </c>
      <c r="T43" s="38">
        <f t="shared" ref="T43" si="39">T41+T42</f>
        <v>-9318</v>
      </c>
    </row>
    <row r="44" spans="1:20" s="4" customFormat="1" ht="15" hidden="1" customHeight="1" x14ac:dyDescent="0.3">
      <c r="A44" s="23" t="s">
        <v>40</v>
      </c>
      <c r="B44" s="41" t="s">
        <v>32</v>
      </c>
      <c r="C44" s="44">
        <v>0</v>
      </c>
      <c r="D44" s="18">
        <v>16851.27</v>
      </c>
      <c r="E44" s="18">
        <v>9227</v>
      </c>
      <c r="F44" s="18">
        <v>3200</v>
      </c>
      <c r="G44" s="18">
        <v>8289</v>
      </c>
      <c r="H44" s="18">
        <v>-1641</v>
      </c>
      <c r="I44" s="27">
        <v>200</v>
      </c>
      <c r="J44" s="27">
        <v>9775</v>
      </c>
      <c r="K44" s="27">
        <v>1221</v>
      </c>
      <c r="L44" s="27">
        <v>0</v>
      </c>
      <c r="M44" s="27"/>
      <c r="N44" s="27">
        <v>74699</v>
      </c>
      <c r="O44" s="27">
        <v>0</v>
      </c>
      <c r="P44" s="27">
        <v>460</v>
      </c>
      <c r="Q44" s="69">
        <v>0</v>
      </c>
      <c r="R44" s="27">
        <v>0</v>
      </c>
      <c r="S44" s="27">
        <v>0</v>
      </c>
      <c r="T44" s="27">
        <v>0</v>
      </c>
    </row>
    <row r="45" spans="1:20" s="4" customFormat="1" ht="15" hidden="1" customHeight="1" x14ac:dyDescent="0.3">
      <c r="A45" s="23"/>
      <c r="B45" s="41" t="s">
        <v>33</v>
      </c>
      <c r="C45" s="44">
        <v>0</v>
      </c>
      <c r="D45" s="18">
        <v>-15571.92</v>
      </c>
      <c r="E45" s="18">
        <v>-1436</v>
      </c>
      <c r="F45" s="18">
        <v>-5013</v>
      </c>
      <c r="G45" s="18">
        <v>-11829</v>
      </c>
      <c r="H45" s="18">
        <v>-8078</v>
      </c>
      <c r="I45" s="27">
        <v>-7524</v>
      </c>
      <c r="J45" s="27">
        <v>-16191</v>
      </c>
      <c r="K45" s="27">
        <v>-8431</v>
      </c>
      <c r="L45" s="27">
        <v>0</v>
      </c>
      <c r="M45" s="27"/>
      <c r="N45" s="27">
        <v>-93175</v>
      </c>
      <c r="O45" s="27">
        <v>0</v>
      </c>
      <c r="P45" s="27">
        <v>-2731.82</v>
      </c>
      <c r="Q45" s="69">
        <v>-600</v>
      </c>
      <c r="R45" s="27">
        <v>-2400</v>
      </c>
      <c r="S45" s="27">
        <v>0</v>
      </c>
      <c r="T45" s="27">
        <v>0</v>
      </c>
    </row>
    <row r="46" spans="1:20" s="4" customFormat="1" ht="15" hidden="1" customHeight="1" x14ac:dyDescent="0.3">
      <c r="A46" s="23"/>
      <c r="B46" s="42" t="s">
        <v>34</v>
      </c>
      <c r="C46" s="37">
        <f>C44+C45</f>
        <v>0</v>
      </c>
      <c r="D46" s="37">
        <f t="shared" ref="D46:E46" si="40">D44+D45</f>
        <v>1279.3500000000004</v>
      </c>
      <c r="E46" s="37">
        <f t="shared" si="40"/>
        <v>7791</v>
      </c>
      <c r="F46" s="37">
        <f t="shared" ref="F46:J46" si="41">SUM(F44:F45)</f>
        <v>-1813</v>
      </c>
      <c r="G46" s="37">
        <f t="shared" si="41"/>
        <v>-3540</v>
      </c>
      <c r="H46" s="37">
        <f t="shared" si="41"/>
        <v>-9719</v>
      </c>
      <c r="I46" s="38">
        <f t="shared" si="41"/>
        <v>-7324</v>
      </c>
      <c r="J46" s="38">
        <f t="shared" si="41"/>
        <v>-6416</v>
      </c>
      <c r="K46" s="38">
        <f t="shared" ref="K46:M46" si="42">K44+K45</f>
        <v>-7210</v>
      </c>
      <c r="L46" s="38">
        <f t="shared" si="42"/>
        <v>0</v>
      </c>
      <c r="M46" s="38">
        <f t="shared" si="42"/>
        <v>0</v>
      </c>
      <c r="N46" s="38">
        <f>SUM(N44:N45)</f>
        <v>-18476</v>
      </c>
      <c r="O46" s="38">
        <f>SUM(O44:O45)</f>
        <v>0</v>
      </c>
      <c r="P46" s="38">
        <f>SUM(P44:P45)</f>
        <v>-2271.8200000000002</v>
      </c>
      <c r="Q46" s="70">
        <f t="shared" ref="Q46:R46" si="43">SUM(Q44:Q45)</f>
        <v>-600</v>
      </c>
      <c r="R46" s="38">
        <f t="shared" si="43"/>
        <v>-2400</v>
      </c>
      <c r="S46" s="38">
        <f t="shared" ref="S46:T46" si="44">SUM(S44:S45)</f>
        <v>0</v>
      </c>
      <c r="T46" s="38">
        <f t="shared" si="44"/>
        <v>0</v>
      </c>
    </row>
    <row r="47" spans="1:20" s="4" customFormat="1" ht="15" customHeight="1" x14ac:dyDescent="0.3">
      <c r="A47" s="32" t="s">
        <v>41</v>
      </c>
      <c r="B47" s="41" t="s">
        <v>32</v>
      </c>
      <c r="C47" s="18">
        <v>24679</v>
      </c>
      <c r="D47" s="18">
        <v>22402.15</v>
      </c>
      <c r="E47" s="18">
        <v>15862</v>
      </c>
      <c r="F47" s="18">
        <v>14351</v>
      </c>
      <c r="G47" s="18">
        <v>13287</v>
      </c>
      <c r="H47" s="18">
        <v>9903</v>
      </c>
      <c r="I47" s="27">
        <f>10845+1815</f>
        <v>12660</v>
      </c>
      <c r="J47" s="27">
        <v>11068</v>
      </c>
      <c r="K47" s="27">
        <f>1794+13049</f>
        <v>14843</v>
      </c>
      <c r="L47" s="27">
        <f>2515+6453</f>
        <v>8968</v>
      </c>
      <c r="M47" s="27">
        <v>7805</v>
      </c>
      <c r="N47" s="27">
        <f>1434+6938</f>
        <v>8372</v>
      </c>
      <c r="O47" s="27">
        <v>13139</v>
      </c>
      <c r="P47" s="27">
        <v>18402</v>
      </c>
      <c r="Q47" s="27">
        <v>11919</v>
      </c>
      <c r="R47" s="27">
        <v>13700</v>
      </c>
      <c r="S47" s="27">
        <v>10447</v>
      </c>
      <c r="T47" s="27">
        <v>18700</v>
      </c>
    </row>
    <row r="48" spans="1:20" s="4" customFormat="1" ht="15" customHeight="1" x14ac:dyDescent="0.3">
      <c r="A48" s="23"/>
      <c r="B48" s="41" t="s">
        <v>33</v>
      </c>
      <c r="C48" s="18">
        <v>-23521</v>
      </c>
      <c r="D48" s="18">
        <v>-20591.57</v>
      </c>
      <c r="E48" s="18">
        <v>-21051</v>
      </c>
      <c r="F48" s="18">
        <v>-24927</v>
      </c>
      <c r="G48" s="18">
        <v>-22536</v>
      </c>
      <c r="H48" s="18">
        <v>-20034</v>
      </c>
      <c r="I48" s="27">
        <f>-(17284+2956)</f>
        <v>-20240</v>
      </c>
      <c r="J48" s="27">
        <v>-20459</v>
      </c>
      <c r="K48" s="27">
        <f>-(6346+17963)</f>
        <v>-24309</v>
      </c>
      <c r="L48" s="27">
        <f>-(4170+12542)</f>
        <v>-16712</v>
      </c>
      <c r="M48" s="27">
        <f>-(693+17129)</f>
        <v>-17822</v>
      </c>
      <c r="N48" s="27">
        <f>-(2058+10406)</f>
        <v>-12464</v>
      </c>
      <c r="O48" s="27">
        <v>-17657</v>
      </c>
      <c r="P48" s="27">
        <v>-25807</v>
      </c>
      <c r="Q48" s="27">
        <v>-22691</v>
      </c>
      <c r="R48" s="27">
        <v>-34686</v>
      </c>
      <c r="S48" s="27">
        <v>-25276</v>
      </c>
      <c r="T48" s="27">
        <v>-40492</v>
      </c>
    </row>
    <row r="49" spans="1:20" s="4" customFormat="1" ht="15" customHeight="1" x14ac:dyDescent="0.3">
      <c r="A49" s="23"/>
      <c r="B49" s="42" t="s">
        <v>34</v>
      </c>
      <c r="C49" s="37">
        <f>C47+C48</f>
        <v>1158</v>
      </c>
      <c r="D49" s="37">
        <f t="shared" ref="D49:E49" si="45">D47+D48</f>
        <v>1810.5800000000017</v>
      </c>
      <c r="E49" s="37">
        <f t="shared" si="45"/>
        <v>-5189</v>
      </c>
      <c r="F49" s="37">
        <f t="shared" ref="F49:R49" si="46">SUM(F47:F48)</f>
        <v>-10576</v>
      </c>
      <c r="G49" s="37">
        <f t="shared" si="46"/>
        <v>-9249</v>
      </c>
      <c r="H49" s="37">
        <f t="shared" si="46"/>
        <v>-10131</v>
      </c>
      <c r="I49" s="38">
        <f t="shared" si="46"/>
        <v>-7580</v>
      </c>
      <c r="J49" s="38">
        <f t="shared" si="46"/>
        <v>-9391</v>
      </c>
      <c r="K49" s="38">
        <f t="shared" si="46"/>
        <v>-9466</v>
      </c>
      <c r="L49" s="38">
        <f t="shared" si="46"/>
        <v>-7744</v>
      </c>
      <c r="M49" s="38">
        <f t="shared" si="46"/>
        <v>-10017</v>
      </c>
      <c r="N49" s="38">
        <f t="shared" si="46"/>
        <v>-4092</v>
      </c>
      <c r="O49" s="38">
        <f t="shared" si="46"/>
        <v>-4518</v>
      </c>
      <c r="P49" s="38">
        <f t="shared" ref="P49" si="47">SUM(P47:P48)</f>
        <v>-7405</v>
      </c>
      <c r="Q49" s="38">
        <f t="shared" si="46"/>
        <v>-10772</v>
      </c>
      <c r="R49" s="38">
        <f t="shared" si="46"/>
        <v>-20986</v>
      </c>
      <c r="S49" s="38">
        <f t="shared" ref="S49:T49" si="48">SUM(S47:S48)</f>
        <v>-14829</v>
      </c>
      <c r="T49" s="38">
        <f t="shared" si="48"/>
        <v>-21792</v>
      </c>
    </row>
    <row r="50" spans="1:20" s="4" customFormat="1" ht="15" customHeight="1" x14ac:dyDescent="0.3">
      <c r="A50" s="43" t="s">
        <v>42</v>
      </c>
      <c r="B50" s="41" t="s">
        <v>32</v>
      </c>
      <c r="C50" s="44">
        <v>3325</v>
      </c>
      <c r="D50" s="18">
        <v>7458.41</v>
      </c>
      <c r="E50" s="18">
        <v>3375</v>
      </c>
      <c r="F50" s="18">
        <v>2702</v>
      </c>
      <c r="G50" s="18">
        <v>1728</v>
      </c>
      <c r="H50" s="18">
        <v>3978</v>
      </c>
      <c r="I50" s="27">
        <v>1530</v>
      </c>
      <c r="J50" s="27">
        <v>833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</row>
    <row r="51" spans="1:20" s="4" customFormat="1" ht="15" customHeight="1" x14ac:dyDescent="0.3">
      <c r="A51" s="23"/>
      <c r="B51" s="41" t="s">
        <v>33</v>
      </c>
      <c r="C51" s="44">
        <v>-7907</v>
      </c>
      <c r="D51" s="18">
        <v>-15972.24</v>
      </c>
      <c r="E51" s="18">
        <v>-15812</v>
      </c>
      <c r="F51" s="18">
        <v>-5871</v>
      </c>
      <c r="G51" s="18">
        <v>-4158</v>
      </c>
      <c r="H51" s="18">
        <v>-6442</v>
      </c>
      <c r="I51" s="27">
        <v>-3468</v>
      </c>
      <c r="J51" s="27">
        <v>-3754</v>
      </c>
      <c r="K51" s="27">
        <v>-3211</v>
      </c>
      <c r="L51" s="27">
        <v>-2007</v>
      </c>
      <c r="M51" s="27">
        <v>-276</v>
      </c>
      <c r="N51" s="27">
        <v>-968</v>
      </c>
      <c r="O51" s="27">
        <v>-1674</v>
      </c>
      <c r="P51" s="27">
        <v>-4444</v>
      </c>
      <c r="Q51" s="27">
        <v>-6423</v>
      </c>
      <c r="R51" s="27">
        <v>-6225</v>
      </c>
      <c r="S51" s="27">
        <v>-6215</v>
      </c>
      <c r="T51" s="27">
        <v>-15305</v>
      </c>
    </row>
    <row r="52" spans="1:20" s="4" customFormat="1" ht="15" customHeight="1" x14ac:dyDescent="0.3">
      <c r="A52" s="23"/>
      <c r="B52" s="42" t="s">
        <v>34</v>
      </c>
      <c r="C52" s="37">
        <f>C50+C51</f>
        <v>-4582</v>
      </c>
      <c r="D52" s="37">
        <f t="shared" ref="D52:M52" si="49">SUM(D50:D51)</f>
        <v>-8513.83</v>
      </c>
      <c r="E52" s="37">
        <f t="shared" si="49"/>
        <v>-12437</v>
      </c>
      <c r="F52" s="37">
        <f t="shared" si="49"/>
        <v>-3169</v>
      </c>
      <c r="G52" s="37">
        <f t="shared" si="49"/>
        <v>-2430</v>
      </c>
      <c r="H52" s="37">
        <f t="shared" si="49"/>
        <v>-2464</v>
      </c>
      <c r="I52" s="38">
        <f t="shared" si="49"/>
        <v>-1938</v>
      </c>
      <c r="J52" s="38">
        <f t="shared" si="49"/>
        <v>-2921</v>
      </c>
      <c r="K52" s="38">
        <f t="shared" si="49"/>
        <v>-3211</v>
      </c>
      <c r="L52" s="38">
        <f t="shared" si="49"/>
        <v>-2007</v>
      </c>
      <c r="M52" s="38">
        <f t="shared" si="49"/>
        <v>-276</v>
      </c>
      <c r="N52" s="38">
        <f>SUM(N50:N51)</f>
        <v>-968</v>
      </c>
      <c r="O52" s="38">
        <f>SUM(O50:O51)</f>
        <v>-1674</v>
      </c>
      <c r="P52" s="38">
        <f>SUM(P50:P51)</f>
        <v>-4444</v>
      </c>
      <c r="Q52" s="38">
        <f t="shared" ref="Q52:R52" si="50">SUM(Q50:Q51)</f>
        <v>-6423</v>
      </c>
      <c r="R52" s="38">
        <f t="shared" si="50"/>
        <v>-6225</v>
      </c>
      <c r="S52" s="38">
        <f t="shared" ref="S52:T52" si="51">SUM(S50:S51)</f>
        <v>-6215</v>
      </c>
      <c r="T52" s="38">
        <f t="shared" si="51"/>
        <v>-15305</v>
      </c>
    </row>
    <row r="53" spans="1:20" s="4" customFormat="1" ht="15" customHeight="1" x14ac:dyDescent="0.3">
      <c r="A53" s="16" t="s">
        <v>43</v>
      </c>
      <c r="B53" s="41" t="s">
        <v>32</v>
      </c>
      <c r="C53" s="18">
        <v>8499</v>
      </c>
      <c r="D53" s="18">
        <v>12657.27</v>
      </c>
      <c r="E53" s="18">
        <v>22722</v>
      </c>
      <c r="F53" s="18">
        <v>19951</v>
      </c>
      <c r="G53" s="18">
        <v>16239</v>
      </c>
      <c r="H53" s="18">
        <v>17813</v>
      </c>
      <c r="I53" s="27">
        <v>14870</v>
      </c>
      <c r="J53" s="27">
        <v>2843</v>
      </c>
      <c r="K53" s="27">
        <v>3331</v>
      </c>
      <c r="L53" s="27">
        <v>3593</v>
      </c>
      <c r="M53" s="27">
        <v>360</v>
      </c>
      <c r="N53" s="27">
        <v>1712</v>
      </c>
      <c r="O53" s="27">
        <v>1620</v>
      </c>
      <c r="P53" s="27">
        <v>2284</v>
      </c>
      <c r="Q53" s="27">
        <v>2537</v>
      </c>
      <c r="R53" s="27">
        <v>1200</v>
      </c>
      <c r="S53" s="27">
        <v>1010</v>
      </c>
      <c r="T53" s="27">
        <v>950</v>
      </c>
    </row>
    <row r="54" spans="1:20" s="4" customFormat="1" ht="15" customHeight="1" x14ac:dyDescent="0.3">
      <c r="A54" s="23"/>
      <c r="B54" s="41" t="s">
        <v>33</v>
      </c>
      <c r="C54" s="18">
        <v>-33079</v>
      </c>
      <c r="D54" s="18">
        <v>-38225.51</v>
      </c>
      <c r="E54" s="18">
        <v>-56691</v>
      </c>
      <c r="F54" s="18">
        <v>-55252</v>
      </c>
      <c r="G54" s="18">
        <v>-56562</v>
      </c>
      <c r="H54" s="18">
        <v>-66698</v>
      </c>
      <c r="I54" s="27">
        <v>-58724</v>
      </c>
      <c r="J54" s="27">
        <v>-51044</v>
      </c>
      <c r="K54" s="27">
        <v>-45214</v>
      </c>
      <c r="L54" s="27">
        <v>-41289</v>
      </c>
      <c r="M54" s="27">
        <v>-25723</v>
      </c>
      <c r="N54" s="27">
        <v>-36407</v>
      </c>
      <c r="O54" s="27">
        <v>-30261</v>
      </c>
      <c r="P54" s="27">
        <v>-33743</v>
      </c>
      <c r="Q54" s="27">
        <v>-35294</v>
      </c>
      <c r="R54" s="27">
        <v>-34615</v>
      </c>
      <c r="S54" s="27">
        <v>-43098</v>
      </c>
      <c r="T54" s="27">
        <v>-34940</v>
      </c>
    </row>
    <row r="55" spans="1:20" s="4" customFormat="1" ht="15" customHeight="1" x14ac:dyDescent="0.3">
      <c r="A55" s="23"/>
      <c r="B55" s="42" t="s">
        <v>34</v>
      </c>
      <c r="C55" s="37">
        <f>C53+C54</f>
        <v>-24580</v>
      </c>
      <c r="D55" s="37">
        <f>D53+D54</f>
        <v>-25568.240000000002</v>
      </c>
      <c r="E55" s="37">
        <f>E53+E54</f>
        <v>-33969</v>
      </c>
      <c r="F55" s="37">
        <f t="shared" ref="F55:R55" si="52">SUM(F53:F54)</f>
        <v>-35301</v>
      </c>
      <c r="G55" s="37">
        <f t="shared" si="52"/>
        <v>-40323</v>
      </c>
      <c r="H55" s="37">
        <f t="shared" si="52"/>
        <v>-48885</v>
      </c>
      <c r="I55" s="38">
        <f t="shared" si="52"/>
        <v>-43854</v>
      </c>
      <c r="J55" s="38">
        <f t="shared" si="52"/>
        <v>-48201</v>
      </c>
      <c r="K55" s="38">
        <f t="shared" si="52"/>
        <v>-41883</v>
      </c>
      <c r="L55" s="38">
        <f t="shared" si="52"/>
        <v>-37696</v>
      </c>
      <c r="M55" s="38">
        <f t="shared" si="52"/>
        <v>-25363</v>
      </c>
      <c r="N55" s="38">
        <f t="shared" si="52"/>
        <v>-34695</v>
      </c>
      <c r="O55" s="38">
        <f t="shared" si="52"/>
        <v>-28641</v>
      </c>
      <c r="P55" s="38">
        <f t="shared" ref="P55" si="53">SUM(P53:P54)</f>
        <v>-31459</v>
      </c>
      <c r="Q55" s="38">
        <f t="shared" si="52"/>
        <v>-32757</v>
      </c>
      <c r="R55" s="38">
        <f t="shared" si="52"/>
        <v>-33415</v>
      </c>
      <c r="S55" s="38">
        <f t="shared" ref="S55:T55" si="54">SUM(S53:S54)</f>
        <v>-42088</v>
      </c>
      <c r="T55" s="38">
        <f t="shared" si="54"/>
        <v>-33990</v>
      </c>
    </row>
    <row r="56" spans="1:20" s="4" customFormat="1" ht="15" customHeight="1" x14ac:dyDescent="0.3">
      <c r="A56" s="32" t="s">
        <v>44</v>
      </c>
      <c r="B56" s="41" t="s">
        <v>32</v>
      </c>
      <c r="C56" s="44">
        <v>0</v>
      </c>
      <c r="D56" s="18">
        <v>0</v>
      </c>
      <c r="E56" s="18">
        <v>0</v>
      </c>
      <c r="F56" s="18">
        <v>0</v>
      </c>
      <c r="G56" s="18">
        <v>1627</v>
      </c>
      <c r="H56" s="18">
        <v>1362</v>
      </c>
      <c r="I56" s="27">
        <v>0</v>
      </c>
      <c r="J56" s="27">
        <v>449</v>
      </c>
      <c r="K56" s="27">
        <v>0</v>
      </c>
      <c r="L56" s="27">
        <v>0</v>
      </c>
      <c r="M56" s="27">
        <v>260</v>
      </c>
      <c r="N56" s="27">
        <v>575</v>
      </c>
      <c r="O56" s="27">
        <v>700</v>
      </c>
      <c r="P56" s="27">
        <v>965</v>
      </c>
      <c r="Q56" s="27">
        <v>2485</v>
      </c>
      <c r="R56" s="27">
        <v>870</v>
      </c>
      <c r="S56" s="27">
        <v>820</v>
      </c>
      <c r="T56" s="27">
        <v>800</v>
      </c>
    </row>
    <row r="57" spans="1:20" s="4" customFormat="1" ht="15" customHeight="1" x14ac:dyDescent="0.3">
      <c r="A57" s="23"/>
      <c r="B57" s="41" t="s">
        <v>33</v>
      </c>
      <c r="C57" s="44">
        <v>0</v>
      </c>
      <c r="D57" s="18">
        <v>0</v>
      </c>
      <c r="E57" s="18">
        <v>0</v>
      </c>
      <c r="F57" s="18">
        <v>0</v>
      </c>
      <c r="G57" s="18">
        <v>-1647</v>
      </c>
      <c r="H57" s="18">
        <v>-3105</v>
      </c>
      <c r="I57" s="27">
        <v>0</v>
      </c>
      <c r="J57" s="27">
        <v>-1991</v>
      </c>
      <c r="K57" s="27">
        <v>0</v>
      </c>
      <c r="L57" s="27">
        <v>0</v>
      </c>
      <c r="M57" s="27">
        <v>-2800</v>
      </c>
      <c r="N57" s="27">
        <v>-2555</v>
      </c>
      <c r="O57" s="27">
        <v>-2919</v>
      </c>
      <c r="P57" s="27">
        <v>-4260</v>
      </c>
      <c r="Q57" s="27">
        <v>-4867</v>
      </c>
      <c r="R57" s="27">
        <v>-5071</v>
      </c>
      <c r="S57" s="27">
        <v>-4473</v>
      </c>
      <c r="T57" s="27">
        <v>-5220</v>
      </c>
    </row>
    <row r="58" spans="1:20" s="4" customFormat="1" ht="15" customHeight="1" x14ac:dyDescent="0.3">
      <c r="A58" s="23"/>
      <c r="B58" s="42" t="s">
        <v>34</v>
      </c>
      <c r="C58" s="37">
        <f>C56+C57</f>
        <v>0</v>
      </c>
      <c r="D58" s="37">
        <f t="shared" ref="D58:G58" si="55">D56+D57</f>
        <v>0</v>
      </c>
      <c r="E58" s="37">
        <f t="shared" si="55"/>
        <v>0</v>
      </c>
      <c r="F58" s="37">
        <f t="shared" si="55"/>
        <v>0</v>
      </c>
      <c r="G58" s="37">
        <f t="shared" si="55"/>
        <v>-20</v>
      </c>
      <c r="H58" s="37">
        <f>SUM(H56:H57)</f>
        <v>-1743</v>
      </c>
      <c r="I58" s="38">
        <f>SUM(I56:I57)</f>
        <v>0</v>
      </c>
      <c r="J58" s="38">
        <f>SUM(J56:J57)</f>
        <v>-1542</v>
      </c>
      <c r="K58" s="38">
        <f t="shared" ref="K58:R58" si="56">K56+K57</f>
        <v>0</v>
      </c>
      <c r="L58" s="38">
        <f t="shared" si="56"/>
        <v>0</v>
      </c>
      <c r="M58" s="38">
        <f t="shared" si="56"/>
        <v>-2540</v>
      </c>
      <c r="N58" s="38">
        <f t="shared" si="56"/>
        <v>-1980</v>
      </c>
      <c r="O58" s="38">
        <f t="shared" si="56"/>
        <v>-2219</v>
      </c>
      <c r="P58" s="38">
        <f t="shared" ref="P58" si="57">P56+P57</f>
        <v>-3295</v>
      </c>
      <c r="Q58" s="38">
        <f t="shared" si="56"/>
        <v>-2382</v>
      </c>
      <c r="R58" s="38">
        <f t="shared" si="56"/>
        <v>-4201</v>
      </c>
      <c r="S58" s="38">
        <f t="shared" ref="S58:T58" si="58">S56+S57</f>
        <v>-3653</v>
      </c>
      <c r="T58" s="38">
        <f t="shared" si="58"/>
        <v>-4420</v>
      </c>
    </row>
    <row r="59" spans="1:20" s="4" customFormat="1" ht="15" customHeight="1" x14ac:dyDescent="0.3">
      <c r="A59" s="43" t="s">
        <v>55</v>
      </c>
      <c r="B59" s="41" t="s">
        <v>32</v>
      </c>
      <c r="C59" s="44">
        <v>20670</v>
      </c>
      <c r="D59" s="18">
        <v>18843.91</v>
      </c>
      <c r="E59" s="18">
        <v>21512</v>
      </c>
      <c r="F59" s="18">
        <v>29694</v>
      </c>
      <c r="G59" s="18">
        <v>22789</v>
      </c>
      <c r="H59" s="18">
        <v>24318</v>
      </c>
      <c r="I59" s="27">
        <v>23262</v>
      </c>
      <c r="J59" s="27">
        <v>28795</v>
      </c>
      <c r="K59" s="27">
        <v>27056</v>
      </c>
      <c r="L59" s="27">
        <v>26527</v>
      </c>
      <c r="M59" s="27">
        <v>23810</v>
      </c>
      <c r="N59" s="27">
        <v>34331</v>
      </c>
      <c r="O59" s="27">
        <v>30818</v>
      </c>
      <c r="P59" s="27">
        <f>26734-460</f>
        <v>26274</v>
      </c>
      <c r="Q59" s="27">
        <v>33458</v>
      </c>
      <c r="R59" s="27">
        <v>35000</v>
      </c>
      <c r="S59" s="27">
        <v>32150</v>
      </c>
      <c r="T59" s="27">
        <v>34325</v>
      </c>
    </row>
    <row r="60" spans="1:20" s="4" customFormat="1" ht="15" customHeight="1" x14ac:dyDescent="0.3">
      <c r="A60" s="23"/>
      <c r="B60" s="41" t="s">
        <v>33</v>
      </c>
      <c r="C60" s="44">
        <v>-29741</v>
      </c>
      <c r="D60" s="18">
        <v>-27002.52</v>
      </c>
      <c r="E60" s="18">
        <v>-31948</v>
      </c>
      <c r="F60" s="18">
        <v>-38577</v>
      </c>
      <c r="G60" s="19">
        <v>-36152</v>
      </c>
      <c r="H60" s="19">
        <v>-39330</v>
      </c>
      <c r="I60" s="20">
        <v>-40386</v>
      </c>
      <c r="J60" s="20">
        <v>-43814</v>
      </c>
      <c r="K60" s="20">
        <v>-51181</v>
      </c>
      <c r="L60" s="20">
        <v>-43768</v>
      </c>
      <c r="M60" s="20">
        <v>-27887</v>
      </c>
      <c r="N60" s="20">
        <v>-45770</v>
      </c>
      <c r="O60" s="20">
        <v>-41236</v>
      </c>
      <c r="P60" s="20">
        <f>-(75168-2731.82)</f>
        <v>-72436.179999999993</v>
      </c>
      <c r="Q60" s="20">
        <v>-47289</v>
      </c>
      <c r="R60" s="20">
        <v>-43000</v>
      </c>
      <c r="S60" s="20">
        <v>-40750</v>
      </c>
      <c r="T60" s="20">
        <v>-42479</v>
      </c>
    </row>
    <row r="61" spans="1:20" s="4" customFormat="1" ht="15" customHeight="1" x14ac:dyDescent="0.3">
      <c r="A61" s="23"/>
      <c r="B61" s="42" t="s">
        <v>34</v>
      </c>
      <c r="C61" s="37">
        <f>C59+C60</f>
        <v>-9071</v>
      </c>
      <c r="D61" s="37">
        <f t="shared" ref="D61:E61" si="59">D59+D60</f>
        <v>-8158.6100000000006</v>
      </c>
      <c r="E61" s="37">
        <f t="shared" si="59"/>
        <v>-10436</v>
      </c>
      <c r="F61" s="37">
        <f t="shared" ref="F61:R61" si="60">SUM(F59:F60)</f>
        <v>-8883</v>
      </c>
      <c r="G61" s="37">
        <f t="shared" si="60"/>
        <v>-13363</v>
      </c>
      <c r="H61" s="37">
        <f t="shared" si="60"/>
        <v>-15012</v>
      </c>
      <c r="I61" s="38">
        <f t="shared" si="60"/>
        <v>-17124</v>
      </c>
      <c r="J61" s="38">
        <f t="shared" si="60"/>
        <v>-15019</v>
      </c>
      <c r="K61" s="38">
        <f t="shared" si="60"/>
        <v>-24125</v>
      </c>
      <c r="L61" s="38">
        <f t="shared" si="60"/>
        <v>-17241</v>
      </c>
      <c r="M61" s="38">
        <f t="shared" si="60"/>
        <v>-4077</v>
      </c>
      <c r="N61" s="38">
        <f t="shared" si="60"/>
        <v>-11439</v>
      </c>
      <c r="O61" s="38">
        <f t="shared" si="60"/>
        <v>-10418</v>
      </c>
      <c r="P61" s="38">
        <f t="shared" ref="P61" si="61">SUM(P59:P60)</f>
        <v>-46162.179999999993</v>
      </c>
      <c r="Q61" s="38">
        <f t="shared" si="60"/>
        <v>-13831</v>
      </c>
      <c r="R61" s="38">
        <f t="shared" si="60"/>
        <v>-8000</v>
      </c>
      <c r="S61" s="38">
        <f t="shared" ref="S61:T61" si="62">SUM(S59:S60)</f>
        <v>-8600</v>
      </c>
      <c r="T61" s="38">
        <f t="shared" si="62"/>
        <v>-8154</v>
      </c>
    </row>
    <row r="62" spans="1:20" s="4" customFormat="1" ht="15" customHeight="1" x14ac:dyDescent="0.3">
      <c r="A62" s="8" t="s">
        <v>45</v>
      </c>
      <c r="B62" s="41" t="s">
        <v>32</v>
      </c>
      <c r="C62" s="18" t="e">
        <f>SUM(C26,C50,#REF!,C29,C53,C59,C47,C32,#REF!,#REF!,#REF!,#REF!,C41,C56)</f>
        <v>#REF!</v>
      </c>
      <c r="D62" s="18" t="e">
        <f>SUM(D26,D50,#REF!,D29,D53,D59,D47,D32,#REF!,#REF!,#REF!,#REF!,D41,D56)</f>
        <v>#REF!</v>
      </c>
      <c r="E62" s="18" t="e">
        <f>SUM(E26,E50,#REF!,E29,E53,E59,E47,E32,#REF!,#REF!,E41,E56)</f>
        <v>#REF!</v>
      </c>
      <c r="F62" s="18" t="e">
        <f>SUM(F26,F50,#REF!,F29,F53,F59,F47,F32,#REF!,#REF!,F41,F56)</f>
        <v>#REF!</v>
      </c>
      <c r="G62" s="18" t="e">
        <f>SUM(G26,G50,#REF!,G29,G53,G59,G47,G32,#REF!,#REF!,G41,G56)</f>
        <v>#REF!</v>
      </c>
      <c r="H62" s="18" t="e">
        <f>SUM(H26,H50,#REF!,H29,H53,H59,H47,H32,#REF!,#REF!,H41,H56)</f>
        <v>#REF!</v>
      </c>
      <c r="I62" s="27" t="e">
        <f>SUM(I26,I50,#REF!,I29,I53,I59,I47,I32,#REF!,#REF!,I41,I56)</f>
        <v>#REF!</v>
      </c>
      <c r="J62" s="27" t="e">
        <f>SUM(J26,J50,#REF!,J29,J53,J59,J47,J32,#REF!,#REF!,J41,J56)</f>
        <v>#REF!</v>
      </c>
      <c r="K62" s="27" t="e">
        <f>SUM(K26,K50,#REF!,K29,K53,K59,K47,K32,#REF!,#REF!,K41,K56)</f>
        <v>#REF!</v>
      </c>
      <c r="L62" s="27" t="e">
        <f>SUM(L26,L50,#REF!,L29,L53,L59,L47,L32,#REF!,#REF!,L41,L56)</f>
        <v>#REF!</v>
      </c>
      <c r="M62" s="27" t="e">
        <f>SUM(M26,M50,#REF!,M29,M53,M59,M47,M32,#REF!,#REF!,M41,M44,M56)</f>
        <v>#REF!</v>
      </c>
      <c r="N62" s="27" t="e">
        <f>SUM(N26,N50,#REF!,N29,N53,N59,N47,N32,#REF!,#REF!,N41,N44,N56)</f>
        <v>#REF!</v>
      </c>
      <c r="O62" s="27">
        <f>SUM(O26,O29,O32,O35,O38,O41,O44,O47,O50,O53,O56,O59)</f>
        <v>1044011</v>
      </c>
      <c r="P62" s="27">
        <f>SUM(P26,P29,P32,P35,P38,P41,P44,P47,P50,P53,P56,P59)</f>
        <v>1111646</v>
      </c>
      <c r="Q62" s="27">
        <f t="shared" ref="Q62:R63" si="63">SUM(Q26,Q29,Q32,Q35,Q38,Q41,Q44,Q47,Q50,Q53,Q56,Q59)</f>
        <v>1119029</v>
      </c>
      <c r="R62" s="27">
        <f t="shared" si="63"/>
        <v>1052869</v>
      </c>
      <c r="S62" s="27">
        <f>SUM(S26,S29,S32,S35,S38,S41,S44,S47,S50,S53,S56,S59)</f>
        <v>1013423</v>
      </c>
      <c r="T62" s="27">
        <f t="shared" ref="T62" si="64">SUM(T26,T29,T32,T35,T38,T41,T44,T47,T50,T53,T56,T59)</f>
        <v>1092216</v>
      </c>
    </row>
    <row r="63" spans="1:20" s="4" customFormat="1" ht="15" customHeight="1" x14ac:dyDescent="0.3">
      <c r="A63" s="23"/>
      <c r="B63" s="41" t="s">
        <v>33</v>
      </c>
      <c r="C63" s="18" t="e">
        <f>SUM(C27,C51,#REF!,C30,C54,C60,C48,C33,#REF!,#REF!,#REF!,#REF!,C42,C57)</f>
        <v>#REF!</v>
      </c>
      <c r="D63" s="18" t="e">
        <f>SUM(D27,D51,#REF!,D30,D54,D60,D48,D33,#REF!,#REF!,#REF!,#REF!,D42,D57)</f>
        <v>#REF!</v>
      </c>
      <c r="E63" s="18" t="e">
        <f>SUM(E27,E51,#REF!,E30,E54,E60,E48,E33,#REF!,#REF!,E42,E57)</f>
        <v>#REF!</v>
      </c>
      <c r="F63" s="18" t="e">
        <f>SUM(F27,F51,#REF!,F30,F54,F60,F48,F33,#REF!,#REF!,F42,F57)</f>
        <v>#REF!</v>
      </c>
      <c r="G63" s="18" t="e">
        <f>SUM(G27,G51,#REF!,G30,G54,G60,G48,G33,#REF!,#REF!,G42,G57)</f>
        <v>#REF!</v>
      </c>
      <c r="H63" s="18" t="e">
        <f>SUM(H27,H51,#REF!,H30,H54,H60,H48,H33,#REF!,#REF!,H42,H57)</f>
        <v>#REF!</v>
      </c>
      <c r="I63" s="27" t="e">
        <f>SUM(I27,I51,#REF!,I30,I54,I60,I48,I33,#REF!,#REF!,I42,I57)</f>
        <v>#REF!</v>
      </c>
      <c r="J63" s="27" t="e">
        <f>SUM(J27,J51,#REF!,J30,J54,J60,J48,J33,#REF!,#REF!,J42,J57)</f>
        <v>#REF!</v>
      </c>
      <c r="K63" s="27" t="e">
        <f>SUM(K27,K51,#REF!,K30,K54,K60,K48,K33,#REF!,#REF!,K42,K57)</f>
        <v>#REF!</v>
      </c>
      <c r="L63" s="27" t="e">
        <f>SUM(L27,L51,#REF!,L30,L54,L60,L48,L33,#REF!,#REF!,L42,L57)</f>
        <v>#REF!</v>
      </c>
      <c r="M63" s="27" t="e">
        <f>SUM(M27,M51,#REF!,M30,M54,M60,M48,M33,#REF!,#REF!,M42,M45,M57)</f>
        <v>#REF!</v>
      </c>
      <c r="N63" s="27" t="e">
        <f>SUM(N27,N51,#REF!,N30,N54,N60,N48,N33,#REF!,#REF!,N42,N45,N57)</f>
        <v>#REF!</v>
      </c>
      <c r="O63" s="27">
        <f>SUM(O27,O30,O33,O36,O39,O42,O45,O48,O51,O54,O57,O60)</f>
        <v>-990144</v>
      </c>
      <c r="P63" s="27">
        <f>SUM(P27,P30,P33,P36,P39,P42,P45,P48,P51,P54,P57,P60)</f>
        <v>-1097046</v>
      </c>
      <c r="Q63" s="27">
        <v>-1032881</v>
      </c>
      <c r="R63" s="27">
        <f t="shared" si="63"/>
        <v>-1096370</v>
      </c>
      <c r="S63" s="27">
        <f t="shared" ref="S63" si="65">SUM(S27,S30,S33,S36,S39,S42,S45,S48,S51,S54,S57,S60)</f>
        <v>-983725</v>
      </c>
      <c r="T63" s="27">
        <f>SUM(T27,T30,T33,T36,T39,T42,T45,T48,T51,T54,T57,T60)</f>
        <v>-1126897</v>
      </c>
    </row>
    <row r="64" spans="1:20" s="23" customFormat="1" ht="15" customHeight="1" x14ac:dyDescent="0.3">
      <c r="A64" s="45"/>
      <c r="B64" s="46" t="s">
        <v>34</v>
      </c>
      <c r="C64" s="47">
        <v>10499</v>
      </c>
      <c r="D64" s="47">
        <v>-6521</v>
      </c>
      <c r="E64" s="47" t="e">
        <f t="shared" ref="E64:R64" si="66">E62+E63</f>
        <v>#REF!</v>
      </c>
      <c r="F64" s="47" t="e">
        <f>F62+F63</f>
        <v>#REF!</v>
      </c>
      <c r="G64" s="47" t="e">
        <f t="shared" si="66"/>
        <v>#REF!</v>
      </c>
      <c r="H64" s="47" t="e">
        <f t="shared" si="66"/>
        <v>#REF!</v>
      </c>
      <c r="I64" s="48" t="e">
        <f t="shared" si="66"/>
        <v>#REF!</v>
      </c>
      <c r="J64" s="48" t="e">
        <f t="shared" si="66"/>
        <v>#REF!</v>
      </c>
      <c r="K64" s="48" t="e">
        <f t="shared" si="66"/>
        <v>#REF!</v>
      </c>
      <c r="L64" s="48" t="e">
        <f t="shared" si="66"/>
        <v>#REF!</v>
      </c>
      <c r="M64" s="49" t="e">
        <f t="shared" si="66"/>
        <v>#REF!</v>
      </c>
      <c r="N64" s="48" t="e">
        <f t="shared" si="66"/>
        <v>#REF!</v>
      </c>
      <c r="O64" s="48">
        <f t="shared" si="66"/>
        <v>53867</v>
      </c>
      <c r="P64" s="48">
        <f t="shared" ref="P64" si="67">P62+P63</f>
        <v>14600</v>
      </c>
      <c r="Q64" s="48">
        <f t="shared" si="66"/>
        <v>86148</v>
      </c>
      <c r="R64" s="48">
        <f t="shared" si="66"/>
        <v>-43501</v>
      </c>
      <c r="S64" s="48">
        <f t="shared" ref="S64:T64" si="68">S62+S63</f>
        <v>29698</v>
      </c>
      <c r="T64" s="48">
        <f t="shared" si="68"/>
        <v>-34681</v>
      </c>
    </row>
    <row r="65" spans="1:20" s="4" customFormat="1" ht="15" customHeight="1" x14ac:dyDescent="0.3">
      <c r="A65" s="8"/>
      <c r="B65" s="9"/>
      <c r="C65" s="18"/>
      <c r="D65" s="18"/>
      <c r="E65" s="18"/>
      <c r="F65" s="18"/>
      <c r="G65" s="18"/>
      <c r="H65" s="18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</row>
    <row r="66" spans="1:20" s="4" customFormat="1" ht="15" customHeight="1" x14ac:dyDescent="0.3">
      <c r="A66" s="16" t="s">
        <v>46</v>
      </c>
      <c r="B66" s="17"/>
      <c r="C66" s="18">
        <v>-84000</v>
      </c>
      <c r="D66" s="18">
        <v>-85500</v>
      </c>
      <c r="E66" s="18">
        <v>-121198</v>
      </c>
      <c r="F66" s="18">
        <v>-132761</v>
      </c>
      <c r="G66" s="19">
        <v>-195577</v>
      </c>
      <c r="H66" s="19">
        <v>-348592</v>
      </c>
      <c r="I66" s="20">
        <v>-202109</v>
      </c>
      <c r="J66" s="20">
        <v>-198317</v>
      </c>
      <c r="K66" s="20">
        <v>-204360</v>
      </c>
      <c r="L66" s="20">
        <v>-212923</v>
      </c>
      <c r="M66" s="20">
        <v>-207962</v>
      </c>
      <c r="N66" s="20">
        <v>-213206</v>
      </c>
      <c r="O66" s="20">
        <v>-220055</v>
      </c>
      <c r="P66" s="20">
        <v>-222131</v>
      </c>
      <c r="Q66" s="20">
        <v>-229973</v>
      </c>
      <c r="R66" s="20">
        <v>-238460</v>
      </c>
      <c r="S66" s="20">
        <v>-201451</v>
      </c>
      <c r="T66" s="20">
        <v>-267475</v>
      </c>
    </row>
    <row r="67" spans="1:20" s="4" customFormat="1" ht="15" customHeight="1" x14ac:dyDescent="0.3">
      <c r="A67" s="16" t="s">
        <v>63</v>
      </c>
      <c r="B67" s="17"/>
      <c r="C67" s="18"/>
      <c r="D67" s="18"/>
      <c r="E67" s="18"/>
      <c r="F67" s="18"/>
      <c r="G67" s="19"/>
      <c r="H67" s="19"/>
      <c r="I67" s="20"/>
      <c r="J67" s="20"/>
      <c r="K67" s="20"/>
      <c r="L67" s="20"/>
      <c r="M67" s="20"/>
      <c r="N67" s="20"/>
      <c r="O67" s="20"/>
      <c r="P67" s="20"/>
      <c r="Q67" s="20">
        <v>0</v>
      </c>
      <c r="R67" s="20">
        <v>0</v>
      </c>
      <c r="S67" s="20">
        <v>-325732</v>
      </c>
      <c r="T67" s="20"/>
    </row>
    <row r="68" spans="1:20" s="4" customFormat="1" ht="15" customHeight="1" x14ac:dyDescent="0.3">
      <c r="A68" s="16" t="s">
        <v>57</v>
      </c>
      <c r="B68" s="17"/>
      <c r="C68" s="18"/>
      <c r="D68" s="18"/>
      <c r="E68" s="18"/>
      <c r="F68" s="18"/>
      <c r="G68" s="19"/>
      <c r="H68" s="19"/>
      <c r="I68" s="20"/>
      <c r="J68" s="20"/>
      <c r="K68" s="20"/>
      <c r="L68" s="20"/>
      <c r="M68" s="20"/>
      <c r="N68" s="20"/>
      <c r="O68" s="20"/>
      <c r="P68" s="20">
        <v>0</v>
      </c>
      <c r="Q68" s="20">
        <v>0</v>
      </c>
      <c r="R68" s="20">
        <v>-138000</v>
      </c>
      <c r="S68" s="20">
        <v>-24712</v>
      </c>
      <c r="T68" s="20">
        <v>-500000</v>
      </c>
    </row>
    <row r="69" spans="1:20" s="4" customFormat="1" ht="15" customHeight="1" x14ac:dyDescent="0.3">
      <c r="A69" s="50" t="s">
        <v>47</v>
      </c>
      <c r="B69" s="17"/>
      <c r="C69" s="18">
        <v>0</v>
      </c>
      <c r="D69" s="18">
        <v>-30000</v>
      </c>
      <c r="E69" s="18">
        <v>0</v>
      </c>
      <c r="F69" s="18">
        <v>-20000</v>
      </c>
      <c r="G69" s="19">
        <v>0</v>
      </c>
      <c r="H69" s="19">
        <v>-150000</v>
      </c>
      <c r="I69" s="20">
        <v>-150000</v>
      </c>
      <c r="J69" s="20">
        <v>0</v>
      </c>
      <c r="K69" s="20">
        <v>0</v>
      </c>
      <c r="L69" s="20">
        <v>0</v>
      </c>
      <c r="M69" s="20">
        <v>-2068</v>
      </c>
      <c r="N69" s="20">
        <v>-41946</v>
      </c>
      <c r="O69" s="20">
        <v>-3000</v>
      </c>
      <c r="P69" s="20">
        <v>-45110</v>
      </c>
      <c r="Q69" s="20">
        <v>-1152090</v>
      </c>
      <c r="R69" s="20">
        <v>-108247</v>
      </c>
      <c r="S69" s="20">
        <v>-443064</v>
      </c>
      <c r="T69" s="20">
        <v>0</v>
      </c>
    </row>
    <row r="70" spans="1:20" s="4" customFormat="1" ht="15" customHeight="1" x14ac:dyDescent="0.3">
      <c r="A70" s="16" t="s">
        <v>48</v>
      </c>
      <c r="B70" s="17"/>
      <c r="C70" s="18">
        <v>0</v>
      </c>
      <c r="D70" s="18">
        <v>0</v>
      </c>
      <c r="E70" s="18">
        <v>0</v>
      </c>
      <c r="F70" s="18">
        <v>0</v>
      </c>
      <c r="G70" s="18">
        <v>-138539</v>
      </c>
      <c r="H70" s="18">
        <v>-98936</v>
      </c>
      <c r="I70" s="27">
        <v>-208567</v>
      </c>
      <c r="J70" s="27">
        <f>-(559298-474044)</f>
        <v>-85254</v>
      </c>
      <c r="K70" s="20">
        <v>0</v>
      </c>
      <c r="L70" s="20">
        <v>-29569</v>
      </c>
      <c r="M70" s="20">
        <v>-30447</v>
      </c>
      <c r="N70" s="20">
        <v>0</v>
      </c>
      <c r="O70" s="20">
        <v>-52900</v>
      </c>
      <c r="P70" s="20">
        <v>-168394</v>
      </c>
      <c r="Q70" s="20">
        <v>-105861.5</v>
      </c>
      <c r="R70" s="20">
        <v>-20000</v>
      </c>
      <c r="S70" s="20">
        <v>0</v>
      </c>
      <c r="T70" s="20">
        <v>0</v>
      </c>
    </row>
    <row r="71" spans="1:20" s="4" customFormat="1" ht="15" customHeight="1" x14ac:dyDescent="0.3">
      <c r="A71" s="50" t="s">
        <v>49</v>
      </c>
      <c r="B71" s="17"/>
      <c r="C71" s="18"/>
      <c r="D71" s="18"/>
      <c r="E71" s="18"/>
      <c r="F71" s="18"/>
      <c r="G71" s="19"/>
      <c r="H71" s="19"/>
      <c r="I71" s="20">
        <v>0</v>
      </c>
      <c r="J71" s="20">
        <v>38909</v>
      </c>
      <c r="K71" s="20">
        <f>3564+7597</f>
        <v>11161</v>
      </c>
      <c r="L71" s="20">
        <f>33526+85000</f>
        <v>118526</v>
      </c>
      <c r="M71" s="20">
        <v>20000</v>
      </c>
      <c r="N71" s="20">
        <v>26600</v>
      </c>
      <c r="O71" s="20">
        <v>52900</v>
      </c>
      <c r="P71" s="20">
        <v>181394</v>
      </c>
      <c r="Q71" s="20">
        <v>105862</v>
      </c>
      <c r="R71" s="20">
        <v>0</v>
      </c>
      <c r="S71" s="20">
        <v>0</v>
      </c>
      <c r="T71" s="20">
        <v>1130000</v>
      </c>
    </row>
    <row r="72" spans="1:20" s="4" customFormat="1" ht="15" customHeight="1" x14ac:dyDescent="0.3">
      <c r="A72" s="50" t="s">
        <v>58</v>
      </c>
      <c r="B72" s="17"/>
      <c r="C72" s="18"/>
      <c r="D72" s="18"/>
      <c r="E72" s="18"/>
      <c r="F72" s="18"/>
      <c r="G72" s="19"/>
      <c r="H72" s="19"/>
      <c r="I72" s="20"/>
      <c r="J72" s="20"/>
      <c r="K72" s="20"/>
      <c r="L72" s="20"/>
      <c r="M72" s="20"/>
      <c r="N72" s="20"/>
      <c r="O72" s="20"/>
      <c r="P72" s="20">
        <v>0</v>
      </c>
      <c r="Q72" s="20">
        <v>-336527.5</v>
      </c>
      <c r="R72" s="20">
        <v>0</v>
      </c>
      <c r="S72" s="20">
        <v>-338917</v>
      </c>
      <c r="T72" s="20">
        <v>-630000</v>
      </c>
    </row>
    <row r="73" spans="1:20" s="4" customFormat="1" ht="15" customHeight="1" x14ac:dyDescent="0.3">
      <c r="A73" s="45"/>
      <c r="B73" s="28" t="s">
        <v>50</v>
      </c>
      <c r="C73" s="29" t="e">
        <f>C24+C64+C66+C69+C70+#REF!+#REF!+#REF!</f>
        <v>#REF!</v>
      </c>
      <c r="D73" s="29" t="e">
        <f>D24+D64+D66+D69+D70+#REF!+#REF!+#REF!</f>
        <v>#REF!</v>
      </c>
      <c r="E73" s="29" t="e">
        <f>E24+E64+E66+E69+E70+#REF!+#REF!+#REF!</f>
        <v>#REF!</v>
      </c>
      <c r="F73" s="29" t="e">
        <f>F24+F64+F66+F69+F70+#REF!+#REF!+#REF!</f>
        <v>#REF!</v>
      </c>
      <c r="G73" s="29" t="e">
        <f>G24+G64+G66+G69+G70+#REF!+#REF!+#REF!</f>
        <v>#REF!</v>
      </c>
      <c r="H73" s="29" t="e">
        <f>H24+H64+H66+H69+H70+#REF!+#REF!+#REF!</f>
        <v>#REF!</v>
      </c>
      <c r="I73" s="51" t="e">
        <f>I24+I64+I66+I69+I70+#REF!+#REF!+#REF!</f>
        <v>#REF!</v>
      </c>
      <c r="J73" s="51" t="e">
        <f>J24+J64+J66+J69++J71+J70+#REF!+#REF!+#REF!</f>
        <v>#REF!</v>
      </c>
      <c r="K73" s="51" t="e">
        <f>K24+K64+K66+K69++K71+K70+#REF!+#REF!+#REF!</f>
        <v>#REF!</v>
      </c>
      <c r="L73" s="51" t="e">
        <f>L24+L64+L66+L69++L71+L70+#REF!+#REF!+#REF!</f>
        <v>#REF!</v>
      </c>
      <c r="M73" s="52" t="e">
        <f>M24+M64+M66+M69++M71+M70+#REF!+#REF!+#REF!</f>
        <v>#REF!</v>
      </c>
      <c r="N73" s="51" t="e">
        <f t="shared" ref="N73" si="69">N24+N64+N66+N68+N69+N70+N71+N72</f>
        <v>#REF!</v>
      </c>
      <c r="O73" s="51">
        <f t="shared" ref="O73" si="70">O24+O64+O66+O68+O69+O70+O71+O72</f>
        <v>-195516</v>
      </c>
      <c r="P73" s="51">
        <f t="shared" ref="P73" si="71">P24+P64+P66+P68+P69+P70+P71+P72</f>
        <v>-344765</v>
      </c>
      <c r="Q73" s="51">
        <f t="shared" ref="Q73:S73" si="72">Q24+Q64+Q66+Q68+Q69+Q70+Q71+Q72</f>
        <v>0</v>
      </c>
      <c r="R73" s="51">
        <f t="shared" ref="R73:T73" si="73">R24+R64+R66+R68+R69+R70+R71+R72</f>
        <v>0</v>
      </c>
      <c r="S73" s="51">
        <f>S24+S64+S66+S67+S68+S69+S70+S71+S72</f>
        <v>0</v>
      </c>
      <c r="T73" s="51">
        <f t="shared" si="73"/>
        <v>3957</v>
      </c>
    </row>
    <row r="74" spans="1:20" s="4" customFormat="1" ht="7.5" customHeight="1" x14ac:dyDescent="0.3">
      <c r="A74" s="8"/>
      <c r="B74" s="9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s="58" customFormat="1" ht="15" customHeight="1" x14ac:dyDescent="0.3">
      <c r="A75" s="53"/>
      <c r="B75" s="54"/>
      <c r="C75" s="55"/>
      <c r="D75" s="55"/>
      <c r="E75" s="56"/>
      <c r="F75" s="55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</row>
    <row r="76" spans="1:20" s="4" customFormat="1" ht="15" customHeight="1" x14ac:dyDescent="0.3">
      <c r="A76" s="43"/>
      <c r="B76" s="59"/>
      <c r="C76" s="60"/>
      <c r="D76" s="9"/>
      <c r="E76" s="14"/>
      <c r="F76" s="60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s="4" customFormat="1" ht="15" customHeight="1" x14ac:dyDescent="0.3">
      <c r="A77" s="43"/>
      <c r="B77" s="59"/>
      <c r="C77" s="60"/>
      <c r="D77" s="9"/>
      <c r="E77" s="14"/>
      <c r="F77" s="60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s="4" customFormat="1" ht="14.25" customHeight="1" x14ac:dyDescent="0.3">
      <c r="A78" s="61"/>
      <c r="B78" s="60"/>
      <c r="C78" s="60"/>
      <c r="D78" s="9"/>
      <c r="E78" s="14"/>
      <c r="F78" s="6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s="4" customFormat="1" ht="14.25" customHeight="1" x14ac:dyDescent="0.3">
      <c r="A79" s="61"/>
      <c r="B79" s="60"/>
      <c r="C79" s="60"/>
      <c r="D79" s="9"/>
      <c r="E79" s="14"/>
      <c r="F79" s="6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s="4" customFormat="1" ht="14.25" customHeight="1" x14ac:dyDescent="0.3">
      <c r="A80" s="61"/>
      <c r="B80" s="60"/>
      <c r="C80" s="60"/>
      <c r="D80" s="9"/>
      <c r="E80" s="14"/>
      <c r="F80" s="6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s="4" customFormat="1" ht="14.25" customHeight="1" x14ac:dyDescent="0.3">
      <c r="A81" s="61"/>
      <c r="B81" s="60"/>
      <c r="C81" s="60"/>
      <c r="D81" s="9"/>
      <c r="E81" s="14"/>
      <c r="F81" s="6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s="4" customFormat="1" ht="14.25" customHeight="1" x14ac:dyDescent="0.3">
      <c r="A82" s="61"/>
      <c r="B82" s="60"/>
      <c r="C82" s="60"/>
      <c r="D82" s="9"/>
      <c r="E82" s="14"/>
      <c r="F82" s="6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s="4" customFormat="1" ht="14.25" customHeight="1" x14ac:dyDescent="0.3">
      <c r="A83" s="61"/>
      <c r="B83" s="60"/>
      <c r="C83" s="60"/>
      <c r="D83" s="9"/>
      <c r="E83" s="14"/>
      <c r="F83" s="6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s="4" customFormat="1" ht="14.25" customHeight="1" x14ac:dyDescent="0.3">
      <c r="A84" s="61"/>
      <c r="B84" s="60"/>
      <c r="C84" s="60"/>
      <c r="D84" s="9"/>
      <c r="E84" s="14"/>
      <c r="F84" s="6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s="4" customFormat="1" ht="14.25" customHeight="1" x14ac:dyDescent="0.3">
      <c r="A85" s="61"/>
      <c r="B85" s="60"/>
      <c r="C85" s="60"/>
      <c r="D85" s="9"/>
      <c r="E85" s="14"/>
      <c r="F85" s="6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s="4" customFormat="1" ht="14.25" customHeight="1" x14ac:dyDescent="0.3">
      <c r="A86" s="61"/>
      <c r="B86" s="60"/>
      <c r="C86" s="60"/>
      <c r="D86" s="9"/>
      <c r="E86" s="14"/>
      <c r="F86" s="6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s="4" customFormat="1" ht="14.25" customHeight="1" x14ac:dyDescent="0.3">
      <c r="A87" s="61"/>
      <c r="B87" s="60"/>
      <c r="C87" s="60"/>
      <c r="D87" s="9"/>
      <c r="E87" s="14"/>
      <c r="F87" s="6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s="4" customFormat="1" ht="14.25" customHeight="1" x14ac:dyDescent="0.3">
      <c r="A88" s="23"/>
      <c r="D88" s="33"/>
      <c r="E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s="4" customFormat="1" ht="14.25" customHeight="1" x14ac:dyDescent="0.3">
      <c r="A89" s="23"/>
      <c r="D89" s="33"/>
      <c r="E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</sheetData>
  <mergeCells count="17">
    <mergeCell ref="S3:S4"/>
    <mergeCell ref="T3:T4"/>
    <mergeCell ref="Q3:Q4"/>
    <mergeCell ref="R3:R4"/>
    <mergeCell ref="I3:I4"/>
    <mergeCell ref="J3:J4"/>
    <mergeCell ref="K3:K4"/>
    <mergeCell ref="L3:L4"/>
    <mergeCell ref="M3:M4"/>
    <mergeCell ref="O3:O4"/>
    <mergeCell ref="P3:P4"/>
    <mergeCell ref="H3:H4"/>
    <mergeCell ref="C3:C4"/>
    <mergeCell ref="D3:D4"/>
    <mergeCell ref="E3:E4"/>
    <mergeCell ref="F3:F4"/>
    <mergeCell ref="G3:G4"/>
  </mergeCells>
  <printOptions horizontalCentered="1" verticalCentered="1"/>
  <pageMargins left="0.5" right="0.5" top="0.5" bottom="0.5" header="0.5" footer="0.5"/>
  <pageSetup paperSize="3" orientation="portrait" r:id="rId1"/>
  <ignoredErrors>
    <ignoredError sqref="Q43 S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Z89"/>
  <sheetViews>
    <sheetView showGridLines="0" zoomScaleNormal="100" workbookViewId="0">
      <selection activeCell="Z83" sqref="Z83"/>
    </sheetView>
  </sheetViews>
  <sheetFormatPr defaultColWidth="6.61328125" defaultRowHeight="14.25" customHeight="1" x14ac:dyDescent="0.3"/>
  <cols>
    <col min="1" max="1" width="6.61328125" style="62"/>
    <col min="2" max="2" width="22.15234375" style="23" customWidth="1"/>
    <col min="3" max="3" width="8.61328125" style="4" customWidth="1"/>
    <col min="4" max="4" width="11.23046875" style="4" hidden="1" customWidth="1"/>
    <col min="5" max="6" width="11.23046875" style="33" hidden="1" customWidth="1"/>
    <col min="7" max="7" width="11.23046875" style="4" hidden="1" customWidth="1"/>
    <col min="8" max="10" width="11.23046875" style="33" hidden="1" customWidth="1"/>
    <col min="11" max="16" width="11.765625" style="33" hidden="1" customWidth="1"/>
    <col min="17" max="20" width="11.765625" style="33" customWidth="1"/>
    <col min="21" max="234" width="6.61328125" style="4" customWidth="1"/>
    <col min="235" max="16384" width="6.61328125" style="62"/>
  </cols>
  <sheetData>
    <row r="2" spans="2:20" s="4" customFormat="1" ht="15" customHeight="1" x14ac:dyDescent="0.3">
      <c r="B2" s="1" t="s">
        <v>51</v>
      </c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</row>
    <row r="4" spans="2:20" s="4" customFormat="1" ht="15" customHeight="1" x14ac:dyDescent="0.3">
      <c r="B4" s="5"/>
      <c r="C4" s="6"/>
      <c r="D4" s="73" t="s">
        <v>0</v>
      </c>
      <c r="E4" s="73" t="s">
        <v>1</v>
      </c>
      <c r="F4" s="73" t="s">
        <v>2</v>
      </c>
      <c r="G4" s="73" t="s">
        <v>3</v>
      </c>
      <c r="H4" s="73" t="s">
        <v>4</v>
      </c>
      <c r="I4" s="73" t="s">
        <v>5</v>
      </c>
      <c r="J4" s="75" t="s">
        <v>6</v>
      </c>
      <c r="K4" s="75" t="s">
        <v>7</v>
      </c>
      <c r="L4" s="75" t="s">
        <v>8</v>
      </c>
      <c r="M4" s="75" t="s">
        <v>9</v>
      </c>
      <c r="N4" s="75" t="s">
        <v>10</v>
      </c>
      <c r="O4" s="63" t="s">
        <v>11</v>
      </c>
      <c r="P4" s="75" t="s">
        <v>12</v>
      </c>
      <c r="Q4" s="75" t="s">
        <v>52</v>
      </c>
      <c r="R4" s="75" t="s">
        <v>13</v>
      </c>
      <c r="S4" s="75" t="s">
        <v>53</v>
      </c>
      <c r="T4" s="75" t="s">
        <v>54</v>
      </c>
    </row>
    <row r="5" spans="2:20" s="4" customFormat="1" ht="15" customHeight="1" x14ac:dyDescent="0.3">
      <c r="B5" s="8"/>
      <c r="C5" s="9"/>
      <c r="D5" s="74"/>
      <c r="E5" s="74"/>
      <c r="F5" s="74"/>
      <c r="G5" s="74"/>
      <c r="H5" s="74"/>
      <c r="I5" s="74"/>
      <c r="J5" s="76"/>
      <c r="K5" s="76"/>
      <c r="L5" s="76"/>
      <c r="M5" s="76"/>
      <c r="N5" s="76"/>
      <c r="O5" s="64" t="s">
        <v>14</v>
      </c>
      <c r="P5" s="76"/>
      <c r="Q5" s="76"/>
      <c r="R5" s="76"/>
      <c r="S5" s="76"/>
      <c r="T5" s="76"/>
    </row>
    <row r="6" spans="2:20" s="4" customFormat="1" ht="15" customHeight="1" x14ac:dyDescent="0.3">
      <c r="B6" s="11" t="s">
        <v>15</v>
      </c>
      <c r="C6" s="12"/>
      <c r="D6" s="13"/>
      <c r="E6" s="13"/>
      <c r="F6" s="14"/>
      <c r="G6" s="9"/>
      <c r="H6" s="9"/>
      <c r="I6" s="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2:20" s="4" customFormat="1" ht="15" customHeight="1" x14ac:dyDescent="0.3">
      <c r="B7" s="16" t="s">
        <v>16</v>
      </c>
      <c r="C7" s="17"/>
      <c r="D7" s="18">
        <v>1786465</v>
      </c>
      <c r="E7" s="18">
        <v>1911846</v>
      </c>
      <c r="F7" s="18">
        <v>2119456</v>
      </c>
      <c r="G7" s="18">
        <v>2428000</v>
      </c>
      <c r="H7" s="19">
        <v>2622240</v>
      </c>
      <c r="I7" s="19">
        <v>3623836</v>
      </c>
      <c r="J7" s="20">
        <v>3557105</v>
      </c>
      <c r="K7" s="20">
        <v>3317692</v>
      </c>
      <c r="L7" s="20">
        <v>3342368</v>
      </c>
      <c r="M7" s="20">
        <v>3210114</v>
      </c>
      <c r="N7" s="20">
        <v>2943236</v>
      </c>
      <c r="O7" s="20">
        <v>2823244</v>
      </c>
      <c r="P7" s="20">
        <v>2499531</v>
      </c>
      <c r="Q7" s="20">
        <v>2838583</v>
      </c>
      <c r="R7" s="20">
        <v>3400000</v>
      </c>
      <c r="S7" s="20">
        <v>4835102</v>
      </c>
      <c r="T7" s="20">
        <v>3870654</v>
      </c>
    </row>
    <row r="8" spans="2:20" s="4" customFormat="1" ht="15" customHeight="1" x14ac:dyDescent="0.3">
      <c r="B8" s="16" t="s">
        <v>17</v>
      </c>
      <c r="C8" s="17"/>
      <c r="D8" s="21">
        <v>12612</v>
      </c>
      <c r="E8" s="21">
        <v>10014</v>
      </c>
      <c r="F8" s="21">
        <v>9293</v>
      </c>
      <c r="G8" s="21">
        <v>35494</v>
      </c>
      <c r="H8" s="21">
        <v>95385</v>
      </c>
      <c r="I8" s="21">
        <v>39906</v>
      </c>
      <c r="J8" s="22">
        <v>50967</v>
      </c>
      <c r="K8" s="22">
        <f>57550-38909</f>
        <v>18641</v>
      </c>
      <c r="L8" s="22">
        <v>20134</v>
      </c>
      <c r="M8" s="22">
        <v>20113</v>
      </c>
      <c r="N8" s="22">
        <v>5220</v>
      </c>
      <c r="O8" s="22">
        <v>399906</v>
      </c>
      <c r="P8" s="22">
        <v>33466</v>
      </c>
      <c r="Q8" s="22">
        <v>56164</v>
      </c>
      <c r="R8" s="22">
        <v>31258</v>
      </c>
      <c r="S8" s="22">
        <v>35639</v>
      </c>
      <c r="T8" s="22">
        <v>35639</v>
      </c>
    </row>
    <row r="9" spans="2:20" s="4" customFormat="1" ht="13.8" customHeight="1" x14ac:dyDescent="0.3">
      <c r="B9" s="23"/>
      <c r="C9" s="24" t="s">
        <v>18</v>
      </c>
      <c r="D9" s="25">
        <f t="shared" ref="D9:G9" si="0">SUM(D7:D8)</f>
        <v>1799077</v>
      </c>
      <c r="E9" s="25">
        <f t="shared" si="0"/>
        <v>1921860</v>
      </c>
      <c r="F9" s="25">
        <f t="shared" si="0"/>
        <v>2128749</v>
      </c>
      <c r="G9" s="25">
        <f t="shared" si="0"/>
        <v>2463494</v>
      </c>
      <c r="H9" s="25">
        <f>SUM(H7:H8)</f>
        <v>2717625</v>
      </c>
      <c r="I9" s="25">
        <f t="shared" ref="I9:K9" si="1">SUM(I7:I8)</f>
        <v>3663742</v>
      </c>
      <c r="J9" s="26">
        <f t="shared" si="1"/>
        <v>3608072</v>
      </c>
      <c r="K9" s="26">
        <f t="shared" si="1"/>
        <v>3336333</v>
      </c>
      <c r="L9" s="26">
        <f>SUM(L7:L8)</f>
        <v>3362502</v>
      </c>
      <c r="M9" s="26">
        <f>SUM(M7:M8)</f>
        <v>3230227</v>
      </c>
      <c r="N9" s="26">
        <f>SUM(N7:N8)</f>
        <v>2948456</v>
      </c>
      <c r="O9" s="26">
        <f t="shared" ref="O9:T9" si="2">SUM(O7:O8)</f>
        <v>3223150</v>
      </c>
      <c r="P9" s="26">
        <f t="shared" si="2"/>
        <v>2532997</v>
      </c>
      <c r="Q9" s="26">
        <f t="shared" si="2"/>
        <v>2894747</v>
      </c>
      <c r="R9" s="26">
        <f t="shared" si="2"/>
        <v>3431258</v>
      </c>
      <c r="S9" s="26">
        <f t="shared" si="2"/>
        <v>4870741</v>
      </c>
      <c r="T9" s="26">
        <f t="shared" si="2"/>
        <v>3906293</v>
      </c>
    </row>
    <row r="10" spans="2:20" s="4" customFormat="1" ht="7.95" customHeight="1" x14ac:dyDescent="0.3">
      <c r="B10" s="23"/>
      <c r="C10" s="24"/>
      <c r="D10" s="25"/>
      <c r="E10" s="25"/>
      <c r="F10" s="25"/>
      <c r="G10" s="25"/>
      <c r="H10" s="25"/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2:20" s="4" customFormat="1" ht="15" customHeight="1" x14ac:dyDescent="0.3">
      <c r="B11" s="16" t="s">
        <v>19</v>
      </c>
      <c r="C11" s="17"/>
      <c r="D11" s="18">
        <f>-D7*0.1</f>
        <v>-178646.5</v>
      </c>
      <c r="E11" s="18">
        <v>-191185</v>
      </c>
      <c r="F11" s="18">
        <f>-0.1*F7</f>
        <v>-211945.60000000001</v>
      </c>
      <c r="G11" s="18">
        <f>-G7*0.1</f>
        <v>-242800</v>
      </c>
      <c r="H11" s="18">
        <v>-262224</v>
      </c>
      <c r="I11" s="18">
        <v>-362384</v>
      </c>
      <c r="J11" s="27">
        <f>-(J7*0.1)</f>
        <v>-355710.5</v>
      </c>
      <c r="K11" s="27">
        <f>-(K7*0.1)</f>
        <v>-331769.2</v>
      </c>
      <c r="L11" s="27">
        <f>-(L7*0.1)</f>
        <v>-334236.80000000005</v>
      </c>
      <c r="M11" s="27">
        <f>-(M7*0.1)</f>
        <v>-321011.40000000002</v>
      </c>
      <c r="N11" s="27">
        <f>-((N7)*0.1)+2068</f>
        <v>-292255.60000000003</v>
      </c>
      <c r="O11" s="27">
        <v>-322315</v>
      </c>
      <c r="P11" s="27">
        <v>-253059</v>
      </c>
      <c r="Q11" s="27">
        <v>-289430</v>
      </c>
      <c r="R11" s="27">
        <f>-((R7+R8)*0.1)</f>
        <v>-343125.80000000005</v>
      </c>
      <c r="S11" s="27">
        <v>-564945</v>
      </c>
      <c r="T11" s="27">
        <v>-312758</v>
      </c>
    </row>
    <row r="12" spans="2:20" s="4" customFormat="1" ht="7.95" customHeight="1" x14ac:dyDescent="0.3">
      <c r="B12" s="23"/>
      <c r="C12" s="24"/>
      <c r="D12" s="25"/>
      <c r="E12" s="25"/>
      <c r="F12" s="25"/>
      <c r="G12" s="25"/>
      <c r="H12" s="25"/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2:20" s="4" customFormat="1" ht="15" customHeight="1" x14ac:dyDescent="0.3">
      <c r="B13" s="11" t="s">
        <v>20</v>
      </c>
      <c r="C13" s="12"/>
      <c r="D13" s="18"/>
      <c r="E13" s="18"/>
      <c r="F13" s="18"/>
      <c r="G13" s="18"/>
      <c r="H13" s="18"/>
      <c r="I13" s="18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2:20" s="4" customFormat="1" ht="15" customHeight="1" x14ac:dyDescent="0.3">
      <c r="B14" s="16" t="s">
        <v>56</v>
      </c>
      <c r="C14" s="17"/>
      <c r="D14" s="18">
        <v>0</v>
      </c>
      <c r="E14" s="18">
        <v>0</v>
      </c>
      <c r="F14" s="18">
        <v>0</v>
      </c>
      <c r="G14" s="19">
        <v>0</v>
      </c>
      <c r="H14" s="19">
        <v>0</v>
      </c>
      <c r="I14" s="19">
        <v>-143417</v>
      </c>
      <c r="J14" s="20">
        <v>-78772</v>
      </c>
      <c r="K14" s="20">
        <v>-75024</v>
      </c>
      <c r="L14" s="20">
        <v>-63689</v>
      </c>
      <c r="M14" s="20">
        <v>-62558</v>
      </c>
      <c r="N14" s="20">
        <v>-139948</v>
      </c>
      <c r="O14" s="20">
        <v>-74139</v>
      </c>
      <c r="P14" s="20">
        <v>-103075</v>
      </c>
      <c r="Q14" s="20">
        <v>-230721</v>
      </c>
      <c r="R14" s="20">
        <v>-102455</v>
      </c>
      <c r="S14" s="20">
        <v>-114570</v>
      </c>
      <c r="T14" s="20">
        <v>-113604</v>
      </c>
    </row>
    <row r="15" spans="2:20" s="4" customFormat="1" ht="15" customHeight="1" x14ac:dyDescent="0.3">
      <c r="B15" s="16" t="s">
        <v>21</v>
      </c>
      <c r="C15" s="17"/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-173074</v>
      </c>
      <c r="J15" s="27">
        <v>-159951</v>
      </c>
      <c r="K15" s="27">
        <v>-151821</v>
      </c>
      <c r="L15" s="27">
        <v>-149236</v>
      </c>
      <c r="M15" s="27">
        <v>-141361</v>
      </c>
      <c r="N15" s="27">
        <v>-95762</v>
      </c>
      <c r="O15" s="27">
        <v>-85918</v>
      </c>
      <c r="P15" s="27">
        <v>-79070</v>
      </c>
      <c r="Q15" s="27">
        <v>-84167</v>
      </c>
      <c r="R15" s="27">
        <v>-77156</v>
      </c>
      <c r="S15" s="27">
        <v>-77156</v>
      </c>
      <c r="T15" s="27">
        <v>-68486</v>
      </c>
    </row>
    <row r="16" spans="2:20" s="4" customFormat="1" ht="15" customHeight="1" x14ac:dyDescent="0.3">
      <c r="B16" s="16" t="s">
        <v>22</v>
      </c>
      <c r="C16" s="17"/>
      <c r="D16" s="18"/>
      <c r="E16" s="18"/>
      <c r="F16" s="18"/>
      <c r="G16" s="18"/>
      <c r="H16" s="18"/>
      <c r="I16" s="18"/>
      <c r="J16" s="27"/>
      <c r="K16" s="27"/>
      <c r="L16" s="27"/>
      <c r="M16" s="27"/>
      <c r="N16" s="27"/>
      <c r="O16" s="27"/>
      <c r="P16" s="27">
        <v>-12070</v>
      </c>
      <c r="Q16" s="27">
        <v>-12894</v>
      </c>
      <c r="R16" s="27">
        <v>-9454</v>
      </c>
      <c r="S16" s="27">
        <v>-9778</v>
      </c>
      <c r="T16" s="27">
        <v>-9710</v>
      </c>
    </row>
    <row r="17" spans="2:20" s="4" customFormat="1" ht="15" customHeight="1" x14ac:dyDescent="0.3">
      <c r="B17" s="16" t="s">
        <v>23</v>
      </c>
      <c r="C17" s="17"/>
      <c r="D17" s="18">
        <v>-462697</v>
      </c>
      <c r="E17" s="18">
        <v>-228546</v>
      </c>
      <c r="F17" s="18">
        <v>-223047</v>
      </c>
      <c r="G17" s="18">
        <v>-223896</v>
      </c>
      <c r="H17" s="18">
        <v>-234771</v>
      </c>
      <c r="I17" s="18">
        <v>-244726</v>
      </c>
      <c r="J17" s="27">
        <v>-329851</v>
      </c>
      <c r="K17" s="27">
        <v>-305228</v>
      </c>
      <c r="L17" s="27">
        <v>-331539</v>
      </c>
      <c r="M17" s="27">
        <v>-261845</v>
      </c>
      <c r="N17" s="27">
        <v>-234498</v>
      </c>
      <c r="O17" s="27">
        <v>-272208</v>
      </c>
      <c r="P17" s="27">
        <v>-338392</v>
      </c>
      <c r="Q17" s="27">
        <v>-303813</v>
      </c>
      <c r="R17" s="27">
        <v>-320502</v>
      </c>
      <c r="S17" s="27">
        <v>-320851</v>
      </c>
      <c r="T17" s="27">
        <v>-329435</v>
      </c>
    </row>
    <row r="18" spans="2:20" s="4" customFormat="1" ht="15" customHeight="1" x14ac:dyDescent="0.3">
      <c r="B18" s="16" t="s">
        <v>24</v>
      </c>
      <c r="C18" s="17"/>
      <c r="D18" s="18">
        <v>0</v>
      </c>
      <c r="E18" s="18">
        <v>-63604</v>
      </c>
      <c r="F18" s="18">
        <v>-68874</v>
      </c>
      <c r="G18" s="19">
        <v>-85224</v>
      </c>
      <c r="H18" s="19">
        <v>-64438</v>
      </c>
      <c r="I18" s="19">
        <v>-59823</v>
      </c>
      <c r="J18" s="20">
        <v>-65683</v>
      </c>
      <c r="K18" s="20">
        <v>-68307</v>
      </c>
      <c r="L18" s="20">
        <v>-70787</v>
      </c>
      <c r="M18" s="20">
        <v>-86165</v>
      </c>
      <c r="N18" s="20">
        <v>-80036</v>
      </c>
      <c r="O18" s="20">
        <v>-87150</v>
      </c>
      <c r="P18" s="20">
        <v>-79510</v>
      </c>
      <c r="Q18" s="20">
        <v>-94480</v>
      </c>
      <c r="R18" s="20">
        <v>-95327</v>
      </c>
      <c r="S18" s="20">
        <v>-73265</v>
      </c>
      <c r="T18" s="20">
        <v>-86200</v>
      </c>
    </row>
    <row r="19" spans="2:20" s="4" customFormat="1" ht="15" customHeight="1" x14ac:dyDescent="0.3">
      <c r="B19" s="16" t="s">
        <v>17</v>
      </c>
      <c r="C19" s="17"/>
      <c r="D19" s="18">
        <v>0</v>
      </c>
      <c r="E19" s="18">
        <v>-147737</v>
      </c>
      <c r="F19" s="18">
        <v>-172366</v>
      </c>
      <c r="G19" s="18">
        <f>-(193641+75000)</f>
        <v>-268641</v>
      </c>
      <c r="H19" s="18">
        <v>-235371</v>
      </c>
      <c r="I19" s="18">
        <v>-8865</v>
      </c>
      <c r="J19" s="27">
        <v>-10567</v>
      </c>
      <c r="K19" s="27">
        <v>-25076</v>
      </c>
      <c r="L19" s="27">
        <v>-21642</v>
      </c>
      <c r="M19" s="27">
        <v>-33447</v>
      </c>
      <c r="N19" s="27">
        <v>-11787</v>
      </c>
      <c r="O19" s="27">
        <v>-9236</v>
      </c>
      <c r="P19" s="27">
        <v>-34921</v>
      </c>
      <c r="Q19" s="27">
        <v>-33715</v>
      </c>
      <c r="R19" s="27">
        <v>-24398</v>
      </c>
      <c r="S19" s="27">
        <v>-25462</v>
      </c>
      <c r="T19" s="27">
        <v>-33648</v>
      </c>
    </row>
    <row r="20" spans="2:20" s="4" customFormat="1" ht="15" customHeight="1" x14ac:dyDescent="0.3">
      <c r="B20" s="24"/>
      <c r="C20" s="24" t="s">
        <v>25</v>
      </c>
      <c r="D20" s="25">
        <f t="shared" ref="D20:O20" si="3">SUM(D15:D19)</f>
        <v>-462697</v>
      </c>
      <c r="E20" s="25">
        <f t="shared" si="3"/>
        <v>-439887</v>
      </c>
      <c r="F20" s="25">
        <f t="shared" si="3"/>
        <v>-464287</v>
      </c>
      <c r="G20" s="25">
        <f t="shared" si="3"/>
        <v>-577761</v>
      </c>
      <c r="H20" s="25">
        <f t="shared" si="3"/>
        <v>-534580</v>
      </c>
      <c r="I20" s="25">
        <f t="shared" si="3"/>
        <v>-486488</v>
      </c>
      <c r="J20" s="26">
        <f t="shared" si="3"/>
        <v>-566052</v>
      </c>
      <c r="K20" s="26">
        <f t="shared" si="3"/>
        <v>-550432</v>
      </c>
      <c r="L20" s="26">
        <f t="shared" si="3"/>
        <v>-573204</v>
      </c>
      <c r="M20" s="26">
        <f t="shared" si="3"/>
        <v>-522818</v>
      </c>
      <c r="N20" s="26">
        <f t="shared" si="3"/>
        <v>-422083</v>
      </c>
      <c r="O20" s="26">
        <f t="shared" si="3"/>
        <v>-454512</v>
      </c>
      <c r="P20" s="26">
        <f>SUM(P14:P19)</f>
        <v>-647038</v>
      </c>
      <c r="Q20" s="26">
        <f>SUM(Q14:Q19)</f>
        <v>-759790</v>
      </c>
      <c r="R20" s="26">
        <f>SUM(R14:R19)</f>
        <v>-629292</v>
      </c>
      <c r="S20" s="26">
        <f>SUM(S14:S19)</f>
        <v>-621082</v>
      </c>
      <c r="T20" s="26">
        <f>SUM(T14:T19)</f>
        <v>-641083</v>
      </c>
    </row>
    <row r="21" spans="2:20" s="4" customFormat="1" ht="15" customHeight="1" x14ac:dyDescent="0.3">
      <c r="B21" s="28"/>
      <c r="C21" s="28" t="s">
        <v>26</v>
      </c>
      <c r="D21" s="29">
        <f>D9+D11+D20</f>
        <v>1157733.5</v>
      </c>
      <c r="E21" s="29">
        <f>SUM(E7+E8+E11+E20)</f>
        <v>1290788</v>
      </c>
      <c r="F21" s="29">
        <f t="shared" ref="F21:T21" si="4">F9+F11+F20</f>
        <v>1452516.4</v>
      </c>
      <c r="G21" s="29">
        <f t="shared" si="4"/>
        <v>1642933</v>
      </c>
      <c r="H21" s="29">
        <f t="shared" si="4"/>
        <v>1920821</v>
      </c>
      <c r="I21" s="29">
        <f t="shared" si="4"/>
        <v>2814870</v>
      </c>
      <c r="J21" s="30">
        <f t="shared" si="4"/>
        <v>2686309.5</v>
      </c>
      <c r="K21" s="30">
        <f t="shared" si="4"/>
        <v>2454131.7999999998</v>
      </c>
      <c r="L21" s="30">
        <f t="shared" si="4"/>
        <v>2455061.2000000002</v>
      </c>
      <c r="M21" s="30">
        <f t="shared" si="4"/>
        <v>2386397.6</v>
      </c>
      <c r="N21" s="31">
        <f t="shared" si="4"/>
        <v>2234117.4</v>
      </c>
      <c r="O21" s="30">
        <f t="shared" si="4"/>
        <v>2446323</v>
      </c>
      <c r="P21" s="30">
        <f t="shared" si="4"/>
        <v>1632900</v>
      </c>
      <c r="Q21" s="30">
        <f t="shared" si="4"/>
        <v>1845527</v>
      </c>
      <c r="R21" s="30">
        <f t="shared" si="4"/>
        <v>2458840.2000000002</v>
      </c>
      <c r="S21" s="30">
        <f t="shared" si="4"/>
        <v>3684714</v>
      </c>
      <c r="T21" s="30">
        <f t="shared" si="4"/>
        <v>2952452</v>
      </c>
    </row>
    <row r="22" spans="2:20" s="4" customFormat="1" ht="15" customHeight="1" x14ac:dyDescent="0.3">
      <c r="B22" s="32"/>
      <c r="C22" s="33"/>
      <c r="D22" s="34"/>
      <c r="E22" s="34"/>
      <c r="F22" s="34"/>
      <c r="G22" s="34"/>
      <c r="H22" s="34"/>
      <c r="I22" s="34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2:20" s="4" customFormat="1" ht="15" customHeight="1" x14ac:dyDescent="0.3">
      <c r="B23" s="16" t="s">
        <v>27</v>
      </c>
      <c r="C23" s="17"/>
      <c r="D23" s="18">
        <v>-1055120</v>
      </c>
      <c r="E23" s="18">
        <v>-1133854</v>
      </c>
      <c r="F23" s="18">
        <v>-1312558</v>
      </c>
      <c r="G23" s="18">
        <v>-1402126</v>
      </c>
      <c r="H23" s="19">
        <v>-1463944</v>
      </c>
      <c r="I23" s="19">
        <v>-1652823</v>
      </c>
      <c r="J23" s="20">
        <v>-1820705</v>
      </c>
      <c r="K23" s="20">
        <v>-2016693</v>
      </c>
      <c r="L23" s="20">
        <v>-2000566</v>
      </c>
      <c r="M23" s="20">
        <v>-2173870</v>
      </c>
      <c r="N23" s="20">
        <v>-1939718</v>
      </c>
      <c r="O23" s="20">
        <v>-1847328</v>
      </c>
      <c r="P23" s="20">
        <v>-1659228</v>
      </c>
      <c r="Q23" s="20">
        <v>-1950651</v>
      </c>
      <c r="R23" s="20">
        <v>-2233707</v>
      </c>
      <c r="S23" s="20">
        <v>-2196509</v>
      </c>
      <c r="T23" s="20">
        <v>-2404244</v>
      </c>
    </row>
    <row r="24" spans="2:20" s="4" customFormat="1" ht="15" customHeight="1" x14ac:dyDescent="0.3">
      <c r="B24" s="16" t="s">
        <v>28</v>
      </c>
      <c r="C24" s="17"/>
      <c r="D24" s="14">
        <f>-(D23)/D7</f>
        <v>0.5906189038128371</v>
      </c>
      <c r="E24" s="14">
        <f>-E23/E7</f>
        <v>0.59306764247747989</v>
      </c>
      <c r="F24" s="14">
        <f>-F23/F7</f>
        <v>0.61929004423776668</v>
      </c>
      <c r="G24" s="14">
        <f>-(G23)/G7</f>
        <v>0.57748187808896212</v>
      </c>
      <c r="H24" s="14">
        <f>-(H23)/H7</f>
        <v>0.55827994386478741</v>
      </c>
      <c r="I24" s="14">
        <f>-(I23-45000-32500-10308)/I7</f>
        <v>0.48032830404024907</v>
      </c>
      <c r="J24" s="35">
        <f>-(J23-45000-32500-10308)/J7</f>
        <v>0.53653546915258332</v>
      </c>
      <c r="K24" s="35">
        <f>-(K23+K14)/K7</f>
        <v>0.63047353401099315</v>
      </c>
      <c r="L24" s="35">
        <f>-(L23+L14)/L7</f>
        <v>0.61760255004834896</v>
      </c>
      <c r="M24" s="35">
        <f t="shared" ref="M24:T24" si="5">-(M23)/M7</f>
        <v>0.67719401865478923</v>
      </c>
      <c r="N24" s="35">
        <f t="shared" si="5"/>
        <v>0.65904263198737711</v>
      </c>
      <c r="O24" s="35">
        <f t="shared" si="5"/>
        <v>0.65432814166965381</v>
      </c>
      <c r="P24" s="35">
        <f t="shared" si="5"/>
        <v>0.6638157318312915</v>
      </c>
      <c r="Q24" s="35">
        <f t="shared" si="5"/>
        <v>0.68719181366195736</v>
      </c>
      <c r="R24" s="35">
        <f t="shared" si="5"/>
        <v>0.65697264705882352</v>
      </c>
      <c r="S24" s="35">
        <f t="shared" si="5"/>
        <v>0.45428390135306351</v>
      </c>
      <c r="T24" s="35">
        <f t="shared" si="5"/>
        <v>0.62114671060756144</v>
      </c>
    </row>
    <row r="25" spans="2:20" s="23" customFormat="1" ht="15" customHeight="1" x14ac:dyDescent="0.3">
      <c r="B25" s="28"/>
      <c r="C25" s="28" t="s">
        <v>29</v>
      </c>
      <c r="D25" s="29">
        <f t="shared" ref="D25:T25" si="6">D21+D23</f>
        <v>102613.5</v>
      </c>
      <c r="E25" s="29">
        <f t="shared" si="6"/>
        <v>156934</v>
      </c>
      <c r="F25" s="29">
        <f t="shared" si="6"/>
        <v>139958.39999999991</v>
      </c>
      <c r="G25" s="29">
        <f t="shared" si="6"/>
        <v>240807</v>
      </c>
      <c r="H25" s="29">
        <f t="shared" si="6"/>
        <v>456877</v>
      </c>
      <c r="I25" s="29">
        <f t="shared" si="6"/>
        <v>1162047</v>
      </c>
      <c r="J25" s="30">
        <f t="shared" si="6"/>
        <v>865604.5</v>
      </c>
      <c r="K25" s="30">
        <f t="shared" si="6"/>
        <v>437438.79999999981</v>
      </c>
      <c r="L25" s="30">
        <f t="shared" si="6"/>
        <v>454495.20000000019</v>
      </c>
      <c r="M25" s="30">
        <f t="shared" si="6"/>
        <v>212527.60000000009</v>
      </c>
      <c r="N25" s="31">
        <f t="shared" si="6"/>
        <v>294399.39999999991</v>
      </c>
      <c r="O25" s="30">
        <f t="shared" si="6"/>
        <v>598995</v>
      </c>
      <c r="P25" s="30">
        <f t="shared" si="6"/>
        <v>-26328</v>
      </c>
      <c r="Q25" s="30">
        <f t="shared" si="6"/>
        <v>-105124</v>
      </c>
      <c r="R25" s="30">
        <f t="shared" si="6"/>
        <v>225133.20000000019</v>
      </c>
      <c r="S25" s="30">
        <f t="shared" si="6"/>
        <v>1488205</v>
      </c>
      <c r="T25" s="30">
        <f t="shared" si="6"/>
        <v>548208</v>
      </c>
    </row>
    <row r="26" spans="2:20" s="4" customFormat="1" ht="15" customHeight="1" x14ac:dyDescent="0.3">
      <c r="B26" s="36" t="s">
        <v>30</v>
      </c>
      <c r="C26" s="33"/>
      <c r="D26" s="25"/>
      <c r="E26" s="25"/>
      <c r="F26" s="25"/>
      <c r="G26" s="37"/>
      <c r="H26" s="37"/>
      <c r="I26" s="37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2:20" s="4" customFormat="1" ht="15" hidden="1" customHeight="1" x14ac:dyDescent="0.3">
      <c r="B27" s="16" t="s">
        <v>31</v>
      </c>
      <c r="C27" s="39" t="s">
        <v>32</v>
      </c>
      <c r="D27" s="40">
        <v>176867</v>
      </c>
      <c r="E27" s="40">
        <v>115145.89</v>
      </c>
      <c r="F27" s="40">
        <v>136147</v>
      </c>
      <c r="G27" s="18">
        <v>177537</v>
      </c>
      <c r="H27" s="18">
        <v>120652</v>
      </c>
      <c r="I27" s="18">
        <v>138706</v>
      </c>
      <c r="J27" s="27">
        <v>164174</v>
      </c>
      <c r="K27" s="27">
        <v>260623</v>
      </c>
      <c r="L27" s="27">
        <v>214958</v>
      </c>
      <c r="M27" s="27">
        <v>461294</v>
      </c>
      <c r="N27" s="27">
        <v>151379</v>
      </c>
      <c r="O27" s="27">
        <v>552600</v>
      </c>
      <c r="P27" s="27">
        <v>393355</v>
      </c>
      <c r="Q27" s="27">
        <v>282536</v>
      </c>
      <c r="R27" s="27">
        <v>228200</v>
      </c>
      <c r="S27" s="27">
        <v>197596</v>
      </c>
      <c r="T27" s="27">
        <v>206610</v>
      </c>
    </row>
    <row r="28" spans="2:20" s="4" customFormat="1" ht="15" hidden="1" customHeight="1" x14ac:dyDescent="0.3">
      <c r="B28" s="23"/>
      <c r="C28" s="41" t="s">
        <v>33</v>
      </c>
      <c r="D28" s="18">
        <v>-157346</v>
      </c>
      <c r="E28" s="18">
        <v>-116247.65</v>
      </c>
      <c r="F28" s="18">
        <v>-132805</v>
      </c>
      <c r="G28" s="18">
        <v>-167094</v>
      </c>
      <c r="H28" s="18">
        <v>-123936</v>
      </c>
      <c r="I28" s="18">
        <v>-141437</v>
      </c>
      <c r="J28" s="27">
        <v>-154181</v>
      </c>
      <c r="K28" s="27">
        <v>-252242</v>
      </c>
      <c r="L28" s="27">
        <v>-211952</v>
      </c>
      <c r="M28" s="27">
        <v>-460775</v>
      </c>
      <c r="N28" s="27">
        <v>-146096</v>
      </c>
      <c r="O28" s="27">
        <v>-554758</v>
      </c>
      <c r="P28" s="27">
        <v>-392601</v>
      </c>
      <c r="Q28" s="27">
        <v>-282693</v>
      </c>
      <c r="R28" s="27">
        <v>-233630</v>
      </c>
      <c r="S28" s="27">
        <v>-201102</v>
      </c>
      <c r="T28" s="27">
        <v>-212606</v>
      </c>
    </row>
    <row r="29" spans="2:20" s="4" customFormat="1" ht="15" hidden="1" customHeight="1" x14ac:dyDescent="0.3">
      <c r="B29" s="23"/>
      <c r="C29" s="42" t="s">
        <v>34</v>
      </c>
      <c r="D29" s="37">
        <f>D27+D28</f>
        <v>19521</v>
      </c>
      <c r="E29" s="37">
        <f>SUM(E27:E28)</f>
        <v>-1101.7599999999948</v>
      </c>
      <c r="F29" s="37">
        <f>SUM(F27:F28)</f>
        <v>3342</v>
      </c>
      <c r="G29" s="37">
        <f t="shared" ref="G29:T29" si="7">SUM(G27:G28)</f>
        <v>10443</v>
      </c>
      <c r="H29" s="37">
        <f t="shared" si="7"/>
        <v>-3284</v>
      </c>
      <c r="I29" s="37">
        <f t="shared" si="7"/>
        <v>-2731</v>
      </c>
      <c r="J29" s="38">
        <f t="shared" si="7"/>
        <v>9993</v>
      </c>
      <c r="K29" s="38">
        <f t="shared" si="7"/>
        <v>8381</v>
      </c>
      <c r="L29" s="38">
        <f t="shared" si="7"/>
        <v>3006</v>
      </c>
      <c r="M29" s="38">
        <f t="shared" si="7"/>
        <v>519</v>
      </c>
      <c r="N29" s="38">
        <f t="shared" si="7"/>
        <v>5283</v>
      </c>
      <c r="O29" s="38">
        <f t="shared" si="7"/>
        <v>-2158</v>
      </c>
      <c r="P29" s="38">
        <f t="shared" si="7"/>
        <v>754</v>
      </c>
      <c r="Q29" s="38">
        <f t="shared" si="7"/>
        <v>-157</v>
      </c>
      <c r="R29" s="38">
        <f t="shared" si="7"/>
        <v>-5430</v>
      </c>
      <c r="S29" s="38">
        <f t="shared" si="7"/>
        <v>-3506</v>
      </c>
      <c r="T29" s="38">
        <f t="shared" si="7"/>
        <v>-5996</v>
      </c>
    </row>
    <row r="30" spans="2:20" s="4" customFormat="1" ht="15" hidden="1" customHeight="1" x14ac:dyDescent="0.3">
      <c r="B30" s="43" t="s">
        <v>35</v>
      </c>
      <c r="C30" s="41" t="s">
        <v>32</v>
      </c>
      <c r="D30" s="44">
        <v>55803</v>
      </c>
      <c r="E30" s="18">
        <v>69068.039999999994</v>
      </c>
      <c r="F30" s="18">
        <v>68344</v>
      </c>
      <c r="G30" s="18">
        <v>72773</v>
      </c>
      <c r="H30" s="18">
        <v>70583</v>
      </c>
      <c r="I30" s="18">
        <v>71198</v>
      </c>
      <c r="J30" s="27">
        <v>62842</v>
      </c>
      <c r="K30" s="27">
        <v>66499</v>
      </c>
      <c r="L30" s="27">
        <v>67807</v>
      </c>
      <c r="M30" s="27">
        <v>46801</v>
      </c>
      <c r="N30" s="27">
        <v>980</v>
      </c>
      <c r="O30" s="27">
        <v>7768</v>
      </c>
      <c r="P30" s="27">
        <v>10150</v>
      </c>
      <c r="Q30" s="27">
        <v>11781</v>
      </c>
      <c r="R30" s="27">
        <v>12465</v>
      </c>
      <c r="S30" s="27">
        <v>13191</v>
      </c>
      <c r="T30" s="27">
        <v>14160</v>
      </c>
    </row>
    <row r="31" spans="2:20" s="4" customFormat="1" ht="15" hidden="1" customHeight="1" x14ac:dyDescent="0.3">
      <c r="B31" s="23"/>
      <c r="C31" s="41" t="s">
        <v>33</v>
      </c>
      <c r="D31" s="44">
        <v>-60148</v>
      </c>
      <c r="E31" s="18">
        <v>-61447.64</v>
      </c>
      <c r="F31" s="18">
        <v>-92688</v>
      </c>
      <c r="G31" s="18">
        <v>-39004</v>
      </c>
      <c r="H31" s="18">
        <v>-41861</v>
      </c>
      <c r="I31" s="18">
        <v>-43250</v>
      </c>
      <c r="J31" s="27">
        <v>-40152</v>
      </c>
      <c r="K31" s="27">
        <v>-43962</v>
      </c>
      <c r="L31" s="27">
        <v>-43757</v>
      </c>
      <c r="M31" s="27">
        <v>-32427</v>
      </c>
      <c r="N31" s="27">
        <v>-2388</v>
      </c>
      <c r="O31" s="27">
        <v>-7331</v>
      </c>
      <c r="P31" s="27">
        <v>-8117</v>
      </c>
      <c r="Q31" s="27">
        <v>-10861</v>
      </c>
      <c r="R31" s="27">
        <v>-11328</v>
      </c>
      <c r="S31" s="27">
        <v>-13135</v>
      </c>
      <c r="T31" s="27">
        <v>-13498</v>
      </c>
    </row>
    <row r="32" spans="2:20" s="4" customFormat="1" ht="15" hidden="1" customHeight="1" x14ac:dyDescent="0.3">
      <c r="B32" s="23"/>
      <c r="C32" s="42" t="s">
        <v>34</v>
      </c>
      <c r="D32" s="37">
        <f>D30+D31</f>
        <v>-4345</v>
      </c>
      <c r="E32" s="37">
        <f t="shared" ref="E32:T32" si="8">SUM(E30:E31)</f>
        <v>7620.3999999999942</v>
      </c>
      <c r="F32" s="37">
        <f t="shared" si="8"/>
        <v>-24344</v>
      </c>
      <c r="G32" s="37">
        <f t="shared" si="8"/>
        <v>33769</v>
      </c>
      <c r="H32" s="37">
        <f t="shared" si="8"/>
        <v>28722</v>
      </c>
      <c r="I32" s="37">
        <f t="shared" si="8"/>
        <v>27948</v>
      </c>
      <c r="J32" s="38">
        <f t="shared" si="8"/>
        <v>22690</v>
      </c>
      <c r="K32" s="38">
        <f t="shared" si="8"/>
        <v>22537</v>
      </c>
      <c r="L32" s="38">
        <f t="shared" si="8"/>
        <v>24050</v>
      </c>
      <c r="M32" s="38">
        <f t="shared" si="8"/>
        <v>14374</v>
      </c>
      <c r="N32" s="38">
        <f t="shared" si="8"/>
        <v>-1408</v>
      </c>
      <c r="O32" s="38">
        <f t="shared" si="8"/>
        <v>437</v>
      </c>
      <c r="P32" s="38">
        <f t="shared" si="8"/>
        <v>2033</v>
      </c>
      <c r="Q32" s="38">
        <f t="shared" si="8"/>
        <v>920</v>
      </c>
      <c r="R32" s="38">
        <f t="shared" si="8"/>
        <v>1137</v>
      </c>
      <c r="S32" s="38">
        <f t="shared" si="8"/>
        <v>56</v>
      </c>
      <c r="T32" s="38">
        <f t="shared" si="8"/>
        <v>662</v>
      </c>
    </row>
    <row r="33" spans="2:20" s="4" customFormat="1" ht="15" hidden="1" customHeight="1" x14ac:dyDescent="0.3">
      <c r="B33" s="43" t="s">
        <v>36</v>
      </c>
      <c r="C33" s="41" t="s">
        <v>32</v>
      </c>
      <c r="D33" s="44">
        <v>253506</v>
      </c>
      <c r="E33" s="18">
        <v>278531.69</v>
      </c>
      <c r="F33" s="18">
        <v>281303</v>
      </c>
      <c r="G33" s="18">
        <v>258933</v>
      </c>
      <c r="H33" s="18">
        <v>258089</v>
      </c>
      <c r="I33" s="18">
        <v>250242</v>
      </c>
      <c r="J33" s="27">
        <v>272222</v>
      </c>
      <c r="K33" s="27">
        <v>276046</v>
      </c>
      <c r="L33" s="27">
        <v>304821</v>
      </c>
      <c r="M33" s="27">
        <v>285883</v>
      </c>
      <c r="N33" s="27">
        <v>362366</v>
      </c>
      <c r="O33" s="27">
        <v>454486</v>
      </c>
      <c r="P33" s="27">
        <v>521408</v>
      </c>
      <c r="Q33" s="27">
        <v>686905</v>
      </c>
      <c r="R33" s="27">
        <v>631545</v>
      </c>
      <c r="S33" s="27">
        <v>702176</v>
      </c>
      <c r="T33" s="27">
        <v>675244</v>
      </c>
    </row>
    <row r="34" spans="2:20" s="4" customFormat="1" ht="15" hidden="1" customHeight="1" x14ac:dyDescent="0.3">
      <c r="B34" s="23"/>
      <c r="C34" s="41" t="s">
        <v>33</v>
      </c>
      <c r="D34" s="44">
        <v>-202671</v>
      </c>
      <c r="E34" s="18">
        <v>-235628.54</v>
      </c>
      <c r="F34" s="18">
        <v>-236168</v>
      </c>
      <c r="G34" s="18">
        <v>-231811</v>
      </c>
      <c r="H34" s="18">
        <v>-245762</v>
      </c>
      <c r="I34" s="18">
        <v>-248048</v>
      </c>
      <c r="J34" s="27">
        <v>-266583</v>
      </c>
      <c r="K34" s="27">
        <v>-263258</v>
      </c>
      <c r="L34" s="27">
        <v>-286812</v>
      </c>
      <c r="M34" s="27">
        <v>-295222</v>
      </c>
      <c r="N34" s="27">
        <v>-353324</v>
      </c>
      <c r="O34" s="27">
        <v>-395951</v>
      </c>
      <c r="P34" s="27">
        <v>-403643</v>
      </c>
      <c r="Q34" s="27">
        <v>-552958</v>
      </c>
      <c r="R34" s="27">
        <v>-521545</v>
      </c>
      <c r="S34" s="27">
        <v>-566143</v>
      </c>
      <c r="T34" s="27">
        <v>-600712</v>
      </c>
    </row>
    <row r="35" spans="2:20" s="4" customFormat="1" ht="15" hidden="1" customHeight="1" x14ac:dyDescent="0.3">
      <c r="B35" s="23"/>
      <c r="C35" s="42" t="s">
        <v>34</v>
      </c>
      <c r="D35" s="37">
        <f>D33+D34</f>
        <v>50835</v>
      </c>
      <c r="E35" s="37">
        <f t="shared" ref="E35:F35" si="9">E33+E34</f>
        <v>42903.149999999994</v>
      </c>
      <c r="F35" s="37">
        <f t="shared" si="9"/>
        <v>45135</v>
      </c>
      <c r="G35" s="37">
        <f t="shared" ref="G35:T35" si="10">SUM(G33:G34)</f>
        <v>27122</v>
      </c>
      <c r="H35" s="37">
        <f t="shared" si="10"/>
        <v>12327</v>
      </c>
      <c r="I35" s="37">
        <f t="shared" si="10"/>
        <v>2194</v>
      </c>
      <c r="J35" s="38">
        <f t="shared" si="10"/>
        <v>5639</v>
      </c>
      <c r="K35" s="38">
        <f t="shared" si="10"/>
        <v>12788</v>
      </c>
      <c r="L35" s="38">
        <f t="shared" si="10"/>
        <v>18009</v>
      </c>
      <c r="M35" s="38">
        <f t="shared" si="10"/>
        <v>-9339</v>
      </c>
      <c r="N35" s="38">
        <f t="shared" si="10"/>
        <v>9042</v>
      </c>
      <c r="O35" s="38">
        <f t="shared" si="10"/>
        <v>58535</v>
      </c>
      <c r="P35" s="38">
        <f t="shared" si="10"/>
        <v>117765</v>
      </c>
      <c r="Q35" s="38">
        <f t="shared" si="10"/>
        <v>133947</v>
      </c>
      <c r="R35" s="38">
        <f t="shared" si="10"/>
        <v>110000</v>
      </c>
      <c r="S35" s="38">
        <f t="shared" si="10"/>
        <v>136033</v>
      </c>
      <c r="T35" s="38">
        <f t="shared" si="10"/>
        <v>74532</v>
      </c>
    </row>
    <row r="36" spans="2:20" s="4" customFormat="1" ht="15" hidden="1" customHeight="1" x14ac:dyDescent="0.3">
      <c r="B36" s="32" t="s">
        <v>37</v>
      </c>
      <c r="C36" s="41" t="s">
        <v>32</v>
      </c>
      <c r="D36" s="18">
        <v>24679</v>
      </c>
      <c r="E36" s="18">
        <v>22402.15</v>
      </c>
      <c r="F36" s="18">
        <v>15862</v>
      </c>
      <c r="G36" s="18">
        <v>14351</v>
      </c>
      <c r="H36" s="18">
        <v>13287</v>
      </c>
      <c r="I36" s="18">
        <v>9903</v>
      </c>
      <c r="J36" s="27">
        <f>10845+1815</f>
        <v>12660</v>
      </c>
      <c r="K36" s="27">
        <v>11068</v>
      </c>
      <c r="L36" s="27">
        <f>1794+13049</f>
        <v>14843</v>
      </c>
      <c r="M36" s="27">
        <f>2515+6453</f>
        <v>8968</v>
      </c>
      <c r="N36" s="27">
        <v>7805</v>
      </c>
      <c r="O36" s="27">
        <f>1434+6938</f>
        <v>8372</v>
      </c>
      <c r="P36" s="27">
        <v>22617</v>
      </c>
      <c r="Q36" s="27">
        <v>26437</v>
      </c>
      <c r="R36" s="27">
        <v>35570</v>
      </c>
      <c r="S36" s="27">
        <v>25131</v>
      </c>
      <c r="T36" s="27">
        <v>38460</v>
      </c>
    </row>
    <row r="37" spans="2:20" s="4" customFormat="1" ht="15" hidden="1" customHeight="1" x14ac:dyDescent="0.3">
      <c r="B37" s="23"/>
      <c r="C37" s="41" t="s">
        <v>33</v>
      </c>
      <c r="D37" s="18">
        <v>-23521</v>
      </c>
      <c r="E37" s="18">
        <v>-20591.57</v>
      </c>
      <c r="F37" s="18">
        <v>-21051</v>
      </c>
      <c r="G37" s="18">
        <v>-24927</v>
      </c>
      <c r="H37" s="18">
        <v>-22536</v>
      </c>
      <c r="I37" s="18">
        <v>-20034</v>
      </c>
      <c r="J37" s="27">
        <f>-(17284+2956)</f>
        <v>-20240</v>
      </c>
      <c r="K37" s="27">
        <v>-20459</v>
      </c>
      <c r="L37" s="27">
        <f>-(6346+17963)</f>
        <v>-24309</v>
      </c>
      <c r="M37" s="27">
        <f>-(4170+12542)</f>
        <v>-16712</v>
      </c>
      <c r="N37" s="27">
        <f>-(693+17129)</f>
        <v>-17822</v>
      </c>
      <c r="O37" s="27">
        <f>-(2058+10406)</f>
        <v>-12464</v>
      </c>
      <c r="P37" s="27">
        <v>-28894</v>
      </c>
      <c r="Q37" s="27">
        <v>-39353</v>
      </c>
      <c r="R37" s="27">
        <v>-47200</v>
      </c>
      <c r="S37" s="27">
        <v>-33237</v>
      </c>
      <c r="T37" s="27">
        <v>-54149</v>
      </c>
    </row>
    <row r="38" spans="2:20" s="4" customFormat="1" ht="15" hidden="1" customHeight="1" x14ac:dyDescent="0.3">
      <c r="B38" s="23"/>
      <c r="C38" s="42" t="s">
        <v>34</v>
      </c>
      <c r="D38" s="37">
        <f>D36+D37</f>
        <v>1158</v>
      </c>
      <c r="E38" s="37">
        <f t="shared" ref="E38:F38" si="11">E36+E37</f>
        <v>1810.5800000000017</v>
      </c>
      <c r="F38" s="37">
        <f t="shared" si="11"/>
        <v>-5189</v>
      </c>
      <c r="G38" s="37">
        <f t="shared" ref="G38:T38" si="12">SUM(G36:G37)</f>
        <v>-10576</v>
      </c>
      <c r="H38" s="37">
        <f t="shared" si="12"/>
        <v>-9249</v>
      </c>
      <c r="I38" s="37">
        <f t="shared" si="12"/>
        <v>-10131</v>
      </c>
      <c r="J38" s="38">
        <f t="shared" si="12"/>
        <v>-7580</v>
      </c>
      <c r="K38" s="38">
        <f t="shared" si="12"/>
        <v>-9391</v>
      </c>
      <c r="L38" s="38">
        <f t="shared" si="12"/>
        <v>-9466</v>
      </c>
      <c r="M38" s="38">
        <f t="shared" si="12"/>
        <v>-7744</v>
      </c>
      <c r="N38" s="38">
        <f t="shared" si="12"/>
        <v>-10017</v>
      </c>
      <c r="O38" s="38">
        <f t="shared" si="12"/>
        <v>-4092</v>
      </c>
      <c r="P38" s="38">
        <f t="shared" si="12"/>
        <v>-6277</v>
      </c>
      <c r="Q38" s="38">
        <f t="shared" si="12"/>
        <v>-12916</v>
      </c>
      <c r="R38" s="38">
        <f t="shared" si="12"/>
        <v>-11630</v>
      </c>
      <c r="S38" s="38">
        <f t="shared" si="12"/>
        <v>-8106</v>
      </c>
      <c r="T38" s="38">
        <f t="shared" si="12"/>
        <v>-15689</v>
      </c>
    </row>
    <row r="39" spans="2:20" s="4" customFormat="1" ht="15" hidden="1" customHeight="1" x14ac:dyDescent="0.3">
      <c r="B39" s="32" t="s">
        <v>38</v>
      </c>
      <c r="C39" s="41" t="s">
        <v>32</v>
      </c>
      <c r="D39" s="18">
        <v>24679</v>
      </c>
      <c r="E39" s="18">
        <v>22402.15</v>
      </c>
      <c r="F39" s="18">
        <v>15862</v>
      </c>
      <c r="G39" s="18">
        <v>14351</v>
      </c>
      <c r="H39" s="18">
        <v>13287</v>
      </c>
      <c r="I39" s="18">
        <v>9903</v>
      </c>
      <c r="J39" s="27">
        <f>10845+1815</f>
        <v>12660</v>
      </c>
      <c r="K39" s="27">
        <v>11068</v>
      </c>
      <c r="L39" s="27">
        <f>1794+13049</f>
        <v>14843</v>
      </c>
      <c r="M39" s="27">
        <f>2515+6453</f>
        <v>8968</v>
      </c>
      <c r="N39" s="27">
        <v>7805</v>
      </c>
      <c r="O39" s="27">
        <f>1434+6938</f>
        <v>8372</v>
      </c>
      <c r="P39" s="27">
        <v>46423</v>
      </c>
      <c r="Q39" s="27">
        <v>55602</v>
      </c>
      <c r="R39" s="27">
        <v>49800</v>
      </c>
      <c r="S39" s="27">
        <v>64026</v>
      </c>
      <c r="T39" s="27">
        <v>67625</v>
      </c>
    </row>
    <row r="40" spans="2:20" s="4" customFormat="1" ht="15" hidden="1" customHeight="1" x14ac:dyDescent="0.3">
      <c r="B40" s="23"/>
      <c r="C40" s="41" t="s">
        <v>33</v>
      </c>
      <c r="D40" s="18">
        <v>-23521</v>
      </c>
      <c r="E40" s="18">
        <v>-20591.57</v>
      </c>
      <c r="F40" s="18">
        <v>-21051</v>
      </c>
      <c r="G40" s="18">
        <v>-24927</v>
      </c>
      <c r="H40" s="18">
        <v>-22536</v>
      </c>
      <c r="I40" s="18">
        <v>-20034</v>
      </c>
      <c r="J40" s="27">
        <f>-(17284+2956)</f>
        <v>-20240</v>
      </c>
      <c r="K40" s="27">
        <v>-20459</v>
      </c>
      <c r="L40" s="27">
        <f>-(6346+17963)</f>
        <v>-24309</v>
      </c>
      <c r="M40" s="27">
        <f>-(4170+12542)</f>
        <v>-16712</v>
      </c>
      <c r="N40" s="27">
        <f>-(693+17129)</f>
        <v>-17822</v>
      </c>
      <c r="O40" s="27">
        <f>-(2058+10406)</f>
        <v>-12464</v>
      </c>
      <c r="P40" s="27">
        <v>-55312</v>
      </c>
      <c r="Q40" s="27">
        <v>-59859</v>
      </c>
      <c r="R40" s="27">
        <v>-59950</v>
      </c>
      <c r="S40" s="27">
        <v>-73642</v>
      </c>
      <c r="T40" s="27">
        <v>-81850</v>
      </c>
    </row>
    <row r="41" spans="2:20" s="4" customFormat="1" ht="15" hidden="1" customHeight="1" x14ac:dyDescent="0.3">
      <c r="B41" s="23"/>
      <c r="C41" s="42" t="s">
        <v>34</v>
      </c>
      <c r="D41" s="37">
        <f>D39+D40</f>
        <v>1158</v>
      </c>
      <c r="E41" s="37">
        <f t="shared" ref="E41:F41" si="13">E39+E40</f>
        <v>1810.5800000000017</v>
      </c>
      <c r="F41" s="37">
        <f t="shared" si="13"/>
        <v>-5189</v>
      </c>
      <c r="G41" s="37">
        <f t="shared" ref="G41:T41" si="14">SUM(G39:G40)</f>
        <v>-10576</v>
      </c>
      <c r="H41" s="37">
        <f t="shared" si="14"/>
        <v>-9249</v>
      </c>
      <c r="I41" s="37">
        <f t="shared" si="14"/>
        <v>-10131</v>
      </c>
      <c r="J41" s="38">
        <f t="shared" si="14"/>
        <v>-7580</v>
      </c>
      <c r="K41" s="38">
        <f t="shared" si="14"/>
        <v>-9391</v>
      </c>
      <c r="L41" s="38">
        <f t="shared" si="14"/>
        <v>-9466</v>
      </c>
      <c r="M41" s="38">
        <f t="shared" si="14"/>
        <v>-7744</v>
      </c>
      <c r="N41" s="38">
        <f t="shared" si="14"/>
        <v>-10017</v>
      </c>
      <c r="O41" s="38">
        <f t="shared" si="14"/>
        <v>-4092</v>
      </c>
      <c r="P41" s="38">
        <f t="shared" si="14"/>
        <v>-8889</v>
      </c>
      <c r="Q41" s="38">
        <f t="shared" si="14"/>
        <v>-4257</v>
      </c>
      <c r="R41" s="38">
        <f t="shared" si="14"/>
        <v>-10150</v>
      </c>
      <c r="S41" s="38">
        <f t="shared" si="14"/>
        <v>-9616</v>
      </c>
      <c r="T41" s="38">
        <f t="shared" si="14"/>
        <v>-14225</v>
      </c>
    </row>
    <row r="42" spans="2:20" s="4" customFormat="1" ht="15" hidden="1" customHeight="1" x14ac:dyDescent="0.3">
      <c r="B42" s="16" t="s">
        <v>39</v>
      </c>
      <c r="C42" s="41" t="s">
        <v>32</v>
      </c>
      <c r="D42" s="44">
        <v>0</v>
      </c>
      <c r="E42" s="18">
        <v>16851.27</v>
      </c>
      <c r="F42" s="18">
        <v>9227</v>
      </c>
      <c r="G42" s="18">
        <v>3200</v>
      </c>
      <c r="H42" s="18">
        <v>8289</v>
      </c>
      <c r="I42" s="18">
        <v>-1641</v>
      </c>
      <c r="J42" s="27">
        <v>200</v>
      </c>
      <c r="K42" s="27">
        <v>9775</v>
      </c>
      <c r="L42" s="27">
        <v>1221</v>
      </c>
      <c r="M42" s="27">
        <v>531</v>
      </c>
      <c r="N42" s="27">
        <v>0</v>
      </c>
      <c r="O42" s="27">
        <v>0</v>
      </c>
      <c r="P42" s="27">
        <v>3781</v>
      </c>
      <c r="Q42" s="27">
        <v>0</v>
      </c>
      <c r="R42" s="27">
        <v>0</v>
      </c>
      <c r="S42" s="27">
        <v>0</v>
      </c>
      <c r="T42" s="27">
        <v>0</v>
      </c>
    </row>
    <row r="43" spans="2:20" s="4" customFormat="1" ht="15" hidden="1" customHeight="1" x14ac:dyDescent="0.3">
      <c r="B43" s="23"/>
      <c r="C43" s="41" t="s">
        <v>33</v>
      </c>
      <c r="D43" s="44">
        <v>0</v>
      </c>
      <c r="E43" s="18">
        <v>-15571.92</v>
      </c>
      <c r="F43" s="18">
        <v>-1436</v>
      </c>
      <c r="G43" s="18">
        <v>-5013</v>
      </c>
      <c r="H43" s="18">
        <v>-11829</v>
      </c>
      <c r="I43" s="18">
        <v>-8078</v>
      </c>
      <c r="J43" s="27">
        <v>-7524</v>
      </c>
      <c r="K43" s="27">
        <v>-16191</v>
      </c>
      <c r="L43" s="27">
        <v>-8431</v>
      </c>
      <c r="M43" s="27">
        <v>-4387</v>
      </c>
      <c r="N43" s="27">
        <v>-2370</v>
      </c>
      <c r="O43" s="27">
        <v>-4217</v>
      </c>
      <c r="P43" s="27">
        <v>-7830</v>
      </c>
      <c r="Q43" s="27">
        <v>-7900</v>
      </c>
      <c r="R43" s="27">
        <v>-11214</v>
      </c>
      <c r="S43" s="27">
        <v>-6059</v>
      </c>
      <c r="T43" s="27">
        <v>-7558</v>
      </c>
    </row>
    <row r="44" spans="2:20" s="4" customFormat="1" ht="15" hidden="1" customHeight="1" x14ac:dyDescent="0.3">
      <c r="B44" s="23"/>
      <c r="C44" s="42" t="s">
        <v>34</v>
      </c>
      <c r="D44" s="37">
        <f>D42+D43</f>
        <v>0</v>
      </c>
      <c r="E44" s="37">
        <f t="shared" ref="E44:F44" si="15">E42+E43</f>
        <v>1279.3500000000004</v>
      </c>
      <c r="F44" s="37">
        <f t="shared" si="15"/>
        <v>7791</v>
      </c>
      <c r="G44" s="37">
        <f t="shared" ref="G44:K44" si="16">SUM(G42:G43)</f>
        <v>-1813</v>
      </c>
      <c r="H44" s="37">
        <f t="shared" si="16"/>
        <v>-3540</v>
      </c>
      <c r="I44" s="37">
        <f t="shared" si="16"/>
        <v>-9719</v>
      </c>
      <c r="J44" s="38">
        <f t="shared" si="16"/>
        <v>-7324</v>
      </c>
      <c r="K44" s="38">
        <f t="shared" si="16"/>
        <v>-6416</v>
      </c>
      <c r="L44" s="38">
        <f t="shared" ref="L44:N44" si="17">L42+L43</f>
        <v>-7210</v>
      </c>
      <c r="M44" s="38">
        <f t="shared" si="17"/>
        <v>-3856</v>
      </c>
      <c r="N44" s="38">
        <f t="shared" si="17"/>
        <v>-2370</v>
      </c>
      <c r="O44" s="38">
        <f>SUM(O42:O43)</f>
        <v>-4217</v>
      </c>
      <c r="P44" s="38">
        <f>SUM(P42:P43)</f>
        <v>-4049</v>
      </c>
      <c r="Q44" s="38">
        <f>SUM(Q42:Q43)</f>
        <v>-7900</v>
      </c>
      <c r="R44" s="38">
        <f t="shared" ref="R44:T44" si="18">R42+R43</f>
        <v>-11214</v>
      </c>
      <c r="S44" s="38">
        <f t="shared" ref="S44" si="19">SUM(S42:S43)</f>
        <v>-6059</v>
      </c>
      <c r="T44" s="38">
        <f t="shared" si="18"/>
        <v>-7558</v>
      </c>
    </row>
    <row r="45" spans="2:20" s="4" customFormat="1" ht="15" hidden="1" customHeight="1" x14ac:dyDescent="0.3">
      <c r="B45" s="23" t="s">
        <v>40</v>
      </c>
      <c r="C45" s="41" t="s">
        <v>32</v>
      </c>
      <c r="D45" s="44">
        <v>0</v>
      </c>
      <c r="E45" s="18">
        <v>16851.27</v>
      </c>
      <c r="F45" s="18">
        <v>9227</v>
      </c>
      <c r="G45" s="18">
        <v>3200</v>
      </c>
      <c r="H45" s="18">
        <v>8289</v>
      </c>
      <c r="I45" s="18">
        <v>-1641</v>
      </c>
      <c r="J45" s="27">
        <v>200</v>
      </c>
      <c r="K45" s="27">
        <v>9775</v>
      </c>
      <c r="L45" s="27">
        <v>1221</v>
      </c>
      <c r="M45" s="27">
        <v>0</v>
      </c>
      <c r="N45" s="27"/>
      <c r="O45" s="27">
        <v>74699</v>
      </c>
      <c r="P45" s="27">
        <v>0</v>
      </c>
      <c r="Q45" s="27">
        <v>460</v>
      </c>
      <c r="R45" s="27">
        <v>500</v>
      </c>
      <c r="S45" s="27">
        <v>0</v>
      </c>
      <c r="T45" s="27">
        <v>0</v>
      </c>
    </row>
    <row r="46" spans="2:20" s="4" customFormat="1" ht="15" hidden="1" customHeight="1" x14ac:dyDescent="0.3">
      <c r="B46" s="23"/>
      <c r="C46" s="41" t="s">
        <v>33</v>
      </c>
      <c r="D46" s="44">
        <v>0</v>
      </c>
      <c r="E46" s="18">
        <v>-15571.92</v>
      </c>
      <c r="F46" s="18">
        <v>-1436</v>
      </c>
      <c r="G46" s="18">
        <v>-5013</v>
      </c>
      <c r="H46" s="18">
        <v>-11829</v>
      </c>
      <c r="I46" s="18">
        <v>-8078</v>
      </c>
      <c r="J46" s="27">
        <v>-7524</v>
      </c>
      <c r="K46" s="27">
        <v>-16191</v>
      </c>
      <c r="L46" s="27">
        <v>-8431</v>
      </c>
      <c r="M46" s="27">
        <v>0</v>
      </c>
      <c r="N46" s="27"/>
      <c r="O46" s="27">
        <v>-93175</v>
      </c>
      <c r="P46" s="27">
        <v>0</v>
      </c>
      <c r="Q46" s="27">
        <v>-2731.82</v>
      </c>
      <c r="R46" s="27">
        <v>-4400</v>
      </c>
      <c r="S46" s="27">
        <v>-600</v>
      </c>
      <c r="T46" s="27">
        <v>-2400</v>
      </c>
    </row>
    <row r="47" spans="2:20" s="4" customFormat="1" ht="15" hidden="1" customHeight="1" x14ac:dyDescent="0.3">
      <c r="B47" s="23"/>
      <c r="C47" s="42" t="s">
        <v>34</v>
      </c>
      <c r="D47" s="37">
        <f>D45+D46</f>
        <v>0</v>
      </c>
      <c r="E47" s="37">
        <f t="shared" ref="E47:F47" si="20">E45+E46</f>
        <v>1279.3500000000004</v>
      </c>
      <c r="F47" s="37">
        <f t="shared" si="20"/>
        <v>7791</v>
      </c>
      <c r="G47" s="37">
        <f t="shared" ref="G47:K47" si="21">SUM(G45:G46)</f>
        <v>-1813</v>
      </c>
      <c r="H47" s="37">
        <f t="shared" si="21"/>
        <v>-3540</v>
      </c>
      <c r="I47" s="37">
        <f t="shared" si="21"/>
        <v>-9719</v>
      </c>
      <c r="J47" s="38">
        <f t="shared" si="21"/>
        <v>-7324</v>
      </c>
      <c r="K47" s="38">
        <f t="shared" si="21"/>
        <v>-6416</v>
      </c>
      <c r="L47" s="38">
        <f t="shared" ref="L47:N47" si="22">L45+L46</f>
        <v>-7210</v>
      </c>
      <c r="M47" s="38">
        <f t="shared" si="22"/>
        <v>0</v>
      </c>
      <c r="N47" s="38">
        <f t="shared" si="22"/>
        <v>0</v>
      </c>
      <c r="O47" s="38">
        <f>SUM(O45:O46)</f>
        <v>-18476</v>
      </c>
      <c r="P47" s="38">
        <f>SUM(P45:P46)</f>
        <v>0</v>
      </c>
      <c r="Q47" s="38">
        <f>SUM(Q45:Q46)</f>
        <v>-2271.8200000000002</v>
      </c>
      <c r="R47" s="38">
        <f t="shared" ref="R47:T47" si="23">SUM(R45:R46)</f>
        <v>-3900</v>
      </c>
      <c r="S47" s="38">
        <f t="shared" si="23"/>
        <v>-600</v>
      </c>
      <c r="T47" s="38">
        <f t="shared" si="23"/>
        <v>-2400</v>
      </c>
    </row>
    <row r="48" spans="2:20" s="4" customFormat="1" ht="15" hidden="1" customHeight="1" x14ac:dyDescent="0.3">
      <c r="B48" s="32" t="s">
        <v>41</v>
      </c>
      <c r="C48" s="41" t="s">
        <v>32</v>
      </c>
      <c r="D48" s="18">
        <v>24679</v>
      </c>
      <c r="E48" s="18">
        <v>22402.15</v>
      </c>
      <c r="F48" s="18">
        <v>15862</v>
      </c>
      <c r="G48" s="18">
        <v>14351</v>
      </c>
      <c r="H48" s="18">
        <v>13287</v>
      </c>
      <c r="I48" s="18">
        <v>9903</v>
      </c>
      <c r="J48" s="27">
        <f>10845+1815</f>
        <v>12660</v>
      </c>
      <c r="K48" s="27">
        <v>11068</v>
      </c>
      <c r="L48" s="27">
        <f>1794+13049</f>
        <v>14843</v>
      </c>
      <c r="M48" s="27">
        <f>2515+6453</f>
        <v>8968</v>
      </c>
      <c r="N48" s="27">
        <v>7805</v>
      </c>
      <c r="O48" s="27">
        <f>1434+6938</f>
        <v>8372</v>
      </c>
      <c r="P48" s="27">
        <v>13139</v>
      </c>
      <c r="Q48" s="27">
        <v>18402</v>
      </c>
      <c r="R48" s="27">
        <v>15000</v>
      </c>
      <c r="S48" s="27">
        <v>10859</v>
      </c>
      <c r="T48" s="27">
        <v>13700</v>
      </c>
    </row>
    <row r="49" spans="2:20" s="4" customFormat="1" ht="15" hidden="1" customHeight="1" x14ac:dyDescent="0.3">
      <c r="B49" s="23"/>
      <c r="C49" s="41" t="s">
        <v>33</v>
      </c>
      <c r="D49" s="18">
        <v>-23521</v>
      </c>
      <c r="E49" s="18">
        <v>-20591.57</v>
      </c>
      <c r="F49" s="18">
        <v>-21051</v>
      </c>
      <c r="G49" s="18">
        <v>-24927</v>
      </c>
      <c r="H49" s="18">
        <v>-22536</v>
      </c>
      <c r="I49" s="18">
        <v>-20034</v>
      </c>
      <c r="J49" s="27">
        <f>-(17284+2956)</f>
        <v>-20240</v>
      </c>
      <c r="K49" s="27">
        <v>-20459</v>
      </c>
      <c r="L49" s="27">
        <f>-(6346+17963)</f>
        <v>-24309</v>
      </c>
      <c r="M49" s="27">
        <f>-(4170+12542)</f>
        <v>-16712</v>
      </c>
      <c r="N49" s="27">
        <f>-(693+17129)</f>
        <v>-17822</v>
      </c>
      <c r="O49" s="27">
        <f>-(2058+10406)</f>
        <v>-12464</v>
      </c>
      <c r="P49" s="27">
        <v>-17657</v>
      </c>
      <c r="Q49" s="27">
        <v>-25807</v>
      </c>
      <c r="R49" s="27">
        <v>-30636</v>
      </c>
      <c r="S49" s="27">
        <v>-21097</v>
      </c>
      <c r="T49" s="27">
        <v>-34686</v>
      </c>
    </row>
    <row r="50" spans="2:20" s="4" customFormat="1" ht="15" hidden="1" customHeight="1" x14ac:dyDescent="0.3">
      <c r="B50" s="23"/>
      <c r="C50" s="42" t="s">
        <v>34</v>
      </c>
      <c r="D50" s="37">
        <f>D48+D49</f>
        <v>1158</v>
      </c>
      <c r="E50" s="37">
        <f t="shared" ref="E50:F50" si="24">E48+E49</f>
        <v>1810.5800000000017</v>
      </c>
      <c r="F50" s="37">
        <f t="shared" si="24"/>
        <v>-5189</v>
      </c>
      <c r="G50" s="37">
        <f t="shared" ref="G50:T50" si="25">SUM(G48:G49)</f>
        <v>-10576</v>
      </c>
      <c r="H50" s="37">
        <f t="shared" si="25"/>
        <v>-9249</v>
      </c>
      <c r="I50" s="37">
        <f t="shared" si="25"/>
        <v>-10131</v>
      </c>
      <c r="J50" s="38">
        <f t="shared" si="25"/>
        <v>-7580</v>
      </c>
      <c r="K50" s="38">
        <f t="shared" si="25"/>
        <v>-9391</v>
      </c>
      <c r="L50" s="38">
        <f t="shared" si="25"/>
        <v>-9466</v>
      </c>
      <c r="M50" s="38">
        <f t="shared" si="25"/>
        <v>-7744</v>
      </c>
      <c r="N50" s="38">
        <f t="shared" si="25"/>
        <v>-10017</v>
      </c>
      <c r="O50" s="38">
        <f t="shared" si="25"/>
        <v>-4092</v>
      </c>
      <c r="P50" s="38">
        <f t="shared" si="25"/>
        <v>-4518</v>
      </c>
      <c r="Q50" s="38">
        <f t="shared" si="25"/>
        <v>-7405</v>
      </c>
      <c r="R50" s="38">
        <f t="shared" si="25"/>
        <v>-15636</v>
      </c>
      <c r="S50" s="38">
        <f t="shared" si="25"/>
        <v>-10238</v>
      </c>
      <c r="T50" s="38">
        <f t="shared" si="25"/>
        <v>-20986</v>
      </c>
    </row>
    <row r="51" spans="2:20" s="4" customFormat="1" ht="15" hidden="1" customHeight="1" x14ac:dyDescent="0.3">
      <c r="B51" s="43" t="s">
        <v>42</v>
      </c>
      <c r="C51" s="41" t="s">
        <v>32</v>
      </c>
      <c r="D51" s="44">
        <v>3325</v>
      </c>
      <c r="E51" s="18">
        <v>7458.41</v>
      </c>
      <c r="F51" s="18">
        <v>3375</v>
      </c>
      <c r="G51" s="18">
        <v>2702</v>
      </c>
      <c r="H51" s="18">
        <v>1728</v>
      </c>
      <c r="I51" s="18">
        <v>3978</v>
      </c>
      <c r="J51" s="27">
        <v>1530</v>
      </c>
      <c r="K51" s="27">
        <v>833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</row>
    <row r="52" spans="2:20" s="4" customFormat="1" ht="15" hidden="1" customHeight="1" x14ac:dyDescent="0.3">
      <c r="B52" s="23"/>
      <c r="C52" s="41" t="s">
        <v>33</v>
      </c>
      <c r="D52" s="44">
        <v>-7907</v>
      </c>
      <c r="E52" s="18">
        <v>-15972.24</v>
      </c>
      <c r="F52" s="18">
        <v>-15812</v>
      </c>
      <c r="G52" s="18">
        <v>-5871</v>
      </c>
      <c r="H52" s="18">
        <v>-4158</v>
      </c>
      <c r="I52" s="18">
        <v>-6442</v>
      </c>
      <c r="J52" s="27">
        <v>-3468</v>
      </c>
      <c r="K52" s="27">
        <v>-3754</v>
      </c>
      <c r="L52" s="27">
        <v>-3211</v>
      </c>
      <c r="M52" s="27">
        <v>-2007</v>
      </c>
      <c r="N52" s="27">
        <v>-276</v>
      </c>
      <c r="O52" s="27">
        <v>-968</v>
      </c>
      <c r="P52" s="27">
        <v>-1674</v>
      </c>
      <c r="Q52" s="27">
        <v>-4444</v>
      </c>
      <c r="R52" s="27">
        <v>-6075</v>
      </c>
      <c r="S52" s="27">
        <v>-5775</v>
      </c>
      <c r="T52" s="27">
        <v>-6225</v>
      </c>
    </row>
    <row r="53" spans="2:20" s="4" customFormat="1" ht="15" hidden="1" customHeight="1" x14ac:dyDescent="0.3">
      <c r="B53" s="23"/>
      <c r="C53" s="42" t="s">
        <v>34</v>
      </c>
      <c r="D53" s="37">
        <f>D51+D52</f>
        <v>-4582</v>
      </c>
      <c r="E53" s="37">
        <f t="shared" ref="E53:N53" si="26">SUM(E51:E52)</f>
        <v>-8513.83</v>
      </c>
      <c r="F53" s="37">
        <f t="shared" si="26"/>
        <v>-12437</v>
      </c>
      <c r="G53" s="37">
        <f t="shared" si="26"/>
        <v>-3169</v>
      </c>
      <c r="H53" s="37">
        <f t="shared" si="26"/>
        <v>-2430</v>
      </c>
      <c r="I53" s="37">
        <f t="shared" si="26"/>
        <v>-2464</v>
      </c>
      <c r="J53" s="38">
        <f t="shared" si="26"/>
        <v>-1938</v>
      </c>
      <c r="K53" s="38">
        <f t="shared" si="26"/>
        <v>-2921</v>
      </c>
      <c r="L53" s="38">
        <f t="shared" si="26"/>
        <v>-3211</v>
      </c>
      <c r="M53" s="38">
        <f t="shared" si="26"/>
        <v>-2007</v>
      </c>
      <c r="N53" s="38">
        <f t="shared" si="26"/>
        <v>-276</v>
      </c>
      <c r="O53" s="38">
        <f>SUM(O51:O52)</f>
        <v>-968</v>
      </c>
      <c r="P53" s="38">
        <f>SUM(P51:P52)</f>
        <v>-1674</v>
      </c>
      <c r="Q53" s="38">
        <f>SUM(Q51:Q52)</f>
        <v>-4444</v>
      </c>
      <c r="R53" s="38">
        <f t="shared" ref="R53:T53" si="27">SUM(R51:R52)</f>
        <v>-6075</v>
      </c>
      <c r="S53" s="38">
        <f t="shared" si="27"/>
        <v>-5775</v>
      </c>
      <c r="T53" s="38">
        <f t="shared" si="27"/>
        <v>-6225</v>
      </c>
    </row>
    <row r="54" spans="2:20" s="4" customFormat="1" ht="15" hidden="1" customHeight="1" x14ac:dyDescent="0.3">
      <c r="B54" s="16" t="s">
        <v>43</v>
      </c>
      <c r="C54" s="41" t="s">
        <v>32</v>
      </c>
      <c r="D54" s="18">
        <v>8499</v>
      </c>
      <c r="E54" s="18">
        <v>12657.27</v>
      </c>
      <c r="F54" s="18">
        <v>22722</v>
      </c>
      <c r="G54" s="18">
        <v>19951</v>
      </c>
      <c r="H54" s="18">
        <v>16239</v>
      </c>
      <c r="I54" s="18">
        <v>17813</v>
      </c>
      <c r="J54" s="27">
        <v>14870</v>
      </c>
      <c r="K54" s="27">
        <v>2843</v>
      </c>
      <c r="L54" s="27">
        <v>3331</v>
      </c>
      <c r="M54" s="27">
        <v>3593</v>
      </c>
      <c r="N54" s="27">
        <v>360</v>
      </c>
      <c r="O54" s="27">
        <v>1712</v>
      </c>
      <c r="P54" s="27">
        <v>1620</v>
      </c>
      <c r="Q54" s="27">
        <v>2284</v>
      </c>
      <c r="R54" s="27">
        <v>850</v>
      </c>
      <c r="S54" s="27">
        <v>1270</v>
      </c>
      <c r="T54" s="27">
        <v>1200</v>
      </c>
    </row>
    <row r="55" spans="2:20" s="4" customFormat="1" ht="15" hidden="1" customHeight="1" x14ac:dyDescent="0.3">
      <c r="B55" s="23"/>
      <c r="C55" s="41" t="s">
        <v>33</v>
      </c>
      <c r="D55" s="18">
        <v>-33079</v>
      </c>
      <c r="E55" s="18">
        <v>-38225.51</v>
      </c>
      <c r="F55" s="18">
        <v>-56691</v>
      </c>
      <c r="G55" s="18">
        <v>-55252</v>
      </c>
      <c r="H55" s="18">
        <v>-56562</v>
      </c>
      <c r="I55" s="18">
        <v>-66698</v>
      </c>
      <c r="J55" s="27">
        <v>-58724</v>
      </c>
      <c r="K55" s="27">
        <v>-51044</v>
      </c>
      <c r="L55" s="27">
        <v>-45214</v>
      </c>
      <c r="M55" s="27">
        <v>-41289</v>
      </c>
      <c r="N55" s="27">
        <v>-25723</v>
      </c>
      <c r="O55" s="27">
        <v>-36407</v>
      </c>
      <c r="P55" s="27">
        <v>-30261</v>
      </c>
      <c r="Q55" s="27">
        <v>-33743</v>
      </c>
      <c r="R55" s="27">
        <v>-31030</v>
      </c>
      <c r="S55" s="27">
        <v>-33320</v>
      </c>
      <c r="T55" s="27">
        <v>-34615</v>
      </c>
    </row>
    <row r="56" spans="2:20" s="4" customFormat="1" ht="15" hidden="1" customHeight="1" x14ac:dyDescent="0.3">
      <c r="B56" s="23"/>
      <c r="C56" s="42" t="s">
        <v>34</v>
      </c>
      <c r="D56" s="37">
        <f>D54+D55</f>
        <v>-24580</v>
      </c>
      <c r="E56" s="37">
        <f>E54+E55</f>
        <v>-25568.240000000002</v>
      </c>
      <c r="F56" s="37">
        <f>F54+F55</f>
        <v>-33969</v>
      </c>
      <c r="G56" s="37">
        <f t="shared" ref="G56:T56" si="28">SUM(G54:G55)</f>
        <v>-35301</v>
      </c>
      <c r="H56" s="37">
        <f t="shared" si="28"/>
        <v>-40323</v>
      </c>
      <c r="I56" s="37">
        <f t="shared" si="28"/>
        <v>-48885</v>
      </c>
      <c r="J56" s="38">
        <f t="shared" si="28"/>
        <v>-43854</v>
      </c>
      <c r="K56" s="38">
        <f t="shared" si="28"/>
        <v>-48201</v>
      </c>
      <c r="L56" s="38">
        <f t="shared" si="28"/>
        <v>-41883</v>
      </c>
      <c r="M56" s="38">
        <f t="shared" si="28"/>
        <v>-37696</v>
      </c>
      <c r="N56" s="38">
        <f t="shared" si="28"/>
        <v>-25363</v>
      </c>
      <c r="O56" s="38">
        <f t="shared" si="28"/>
        <v>-34695</v>
      </c>
      <c r="P56" s="38">
        <f t="shared" si="28"/>
        <v>-28641</v>
      </c>
      <c r="Q56" s="38">
        <f t="shared" si="28"/>
        <v>-31459</v>
      </c>
      <c r="R56" s="38">
        <f t="shared" si="28"/>
        <v>-30180</v>
      </c>
      <c r="S56" s="38">
        <f t="shared" si="28"/>
        <v>-32050</v>
      </c>
      <c r="T56" s="38">
        <f t="shared" si="28"/>
        <v>-33415</v>
      </c>
    </row>
    <row r="57" spans="2:20" s="4" customFormat="1" ht="15" hidden="1" customHeight="1" x14ac:dyDescent="0.3">
      <c r="B57" s="32" t="s">
        <v>44</v>
      </c>
      <c r="C57" s="41" t="s">
        <v>32</v>
      </c>
      <c r="D57" s="44">
        <v>0</v>
      </c>
      <c r="E57" s="18">
        <v>0</v>
      </c>
      <c r="F57" s="18">
        <v>0</v>
      </c>
      <c r="G57" s="18">
        <v>0</v>
      </c>
      <c r="H57" s="18">
        <v>1627</v>
      </c>
      <c r="I57" s="18">
        <v>1362</v>
      </c>
      <c r="J57" s="27">
        <v>0</v>
      </c>
      <c r="K57" s="27">
        <v>449</v>
      </c>
      <c r="L57" s="27">
        <v>0</v>
      </c>
      <c r="M57" s="27">
        <v>0</v>
      </c>
      <c r="N57" s="27">
        <v>260</v>
      </c>
      <c r="O57" s="27">
        <v>575</v>
      </c>
      <c r="P57" s="27">
        <v>700</v>
      </c>
      <c r="Q57" s="27">
        <v>965</v>
      </c>
      <c r="R57" s="27">
        <v>825</v>
      </c>
      <c r="S57" s="27">
        <v>2220</v>
      </c>
      <c r="T57" s="27">
        <v>870</v>
      </c>
    </row>
    <row r="58" spans="2:20" s="4" customFormat="1" ht="15" hidden="1" customHeight="1" x14ac:dyDescent="0.3">
      <c r="B58" s="23"/>
      <c r="C58" s="41" t="s">
        <v>33</v>
      </c>
      <c r="D58" s="44">
        <v>0</v>
      </c>
      <c r="E58" s="18">
        <v>0</v>
      </c>
      <c r="F58" s="18">
        <v>0</v>
      </c>
      <c r="G58" s="18">
        <v>0</v>
      </c>
      <c r="H58" s="18">
        <v>-1647</v>
      </c>
      <c r="I58" s="18">
        <v>-3105</v>
      </c>
      <c r="J58" s="27">
        <v>0</v>
      </c>
      <c r="K58" s="27">
        <v>-1991</v>
      </c>
      <c r="L58" s="27">
        <v>0</v>
      </c>
      <c r="M58" s="27">
        <v>0</v>
      </c>
      <c r="N58" s="27">
        <v>-2800</v>
      </c>
      <c r="O58" s="27">
        <v>-2555</v>
      </c>
      <c r="P58" s="27">
        <v>-2919</v>
      </c>
      <c r="Q58" s="27">
        <v>-4260</v>
      </c>
      <c r="R58" s="27">
        <v>-4753</v>
      </c>
      <c r="S58" s="27">
        <v>-4929</v>
      </c>
      <c r="T58" s="27">
        <v>-5071</v>
      </c>
    </row>
    <row r="59" spans="2:20" s="4" customFormat="1" ht="15" hidden="1" customHeight="1" x14ac:dyDescent="0.3">
      <c r="B59" s="23"/>
      <c r="C59" s="42" t="s">
        <v>34</v>
      </c>
      <c r="D59" s="37">
        <f>D57+D58</f>
        <v>0</v>
      </c>
      <c r="E59" s="37">
        <f t="shared" ref="E59:H59" si="29">E57+E58</f>
        <v>0</v>
      </c>
      <c r="F59" s="37">
        <f t="shared" si="29"/>
        <v>0</v>
      </c>
      <c r="G59" s="37">
        <f t="shared" si="29"/>
        <v>0</v>
      </c>
      <c r="H59" s="37">
        <f t="shared" si="29"/>
        <v>-20</v>
      </c>
      <c r="I59" s="37">
        <f>SUM(I57:I58)</f>
        <v>-1743</v>
      </c>
      <c r="J59" s="38">
        <f>SUM(J57:J58)</f>
        <v>0</v>
      </c>
      <c r="K59" s="38">
        <f>SUM(K57:K58)</f>
        <v>-1542</v>
      </c>
      <c r="L59" s="38">
        <f t="shared" ref="L59:T59" si="30">L57+L58</f>
        <v>0</v>
      </c>
      <c r="M59" s="38">
        <f t="shared" si="30"/>
        <v>0</v>
      </c>
      <c r="N59" s="38">
        <f t="shared" si="30"/>
        <v>-2540</v>
      </c>
      <c r="O59" s="38">
        <f t="shared" si="30"/>
        <v>-1980</v>
      </c>
      <c r="P59" s="38">
        <f t="shared" si="30"/>
        <v>-2219</v>
      </c>
      <c r="Q59" s="38">
        <f t="shared" si="30"/>
        <v>-3295</v>
      </c>
      <c r="R59" s="38">
        <f t="shared" si="30"/>
        <v>-3928</v>
      </c>
      <c r="S59" s="38">
        <f t="shared" si="30"/>
        <v>-2709</v>
      </c>
      <c r="T59" s="38">
        <f t="shared" si="30"/>
        <v>-4201</v>
      </c>
    </row>
    <row r="60" spans="2:20" s="4" customFormat="1" ht="15" hidden="1" customHeight="1" x14ac:dyDescent="0.3">
      <c r="B60" s="43" t="s">
        <v>55</v>
      </c>
      <c r="C60" s="41" t="s">
        <v>32</v>
      </c>
      <c r="D60" s="44">
        <v>20670</v>
      </c>
      <c r="E60" s="18">
        <v>18843.91</v>
      </c>
      <c r="F60" s="18">
        <v>21512</v>
      </c>
      <c r="G60" s="18">
        <v>29694</v>
      </c>
      <c r="H60" s="18">
        <v>22789</v>
      </c>
      <c r="I60" s="18">
        <v>24318</v>
      </c>
      <c r="J60" s="27">
        <v>23262</v>
      </c>
      <c r="K60" s="27">
        <v>28795</v>
      </c>
      <c r="L60" s="27">
        <v>27056</v>
      </c>
      <c r="M60" s="27">
        <v>26527</v>
      </c>
      <c r="N60" s="27">
        <v>23810</v>
      </c>
      <c r="O60" s="27">
        <v>34331</v>
      </c>
      <c r="P60" s="27">
        <v>30818</v>
      </c>
      <c r="Q60" s="27">
        <f>26734-460</f>
        <v>26274</v>
      </c>
      <c r="R60" s="27">
        <v>34312</v>
      </c>
      <c r="S60" s="27">
        <v>33235</v>
      </c>
      <c r="T60" s="27">
        <v>35000</v>
      </c>
    </row>
    <row r="61" spans="2:20" s="4" customFormat="1" ht="15" hidden="1" customHeight="1" x14ac:dyDescent="0.3">
      <c r="B61" s="23"/>
      <c r="C61" s="41" t="s">
        <v>33</v>
      </c>
      <c r="D61" s="44">
        <v>-29741</v>
      </c>
      <c r="E61" s="18">
        <v>-27002.52</v>
      </c>
      <c r="F61" s="18">
        <v>-31948</v>
      </c>
      <c r="G61" s="18">
        <v>-38577</v>
      </c>
      <c r="H61" s="19">
        <v>-36152</v>
      </c>
      <c r="I61" s="19">
        <v>-39330</v>
      </c>
      <c r="J61" s="20">
        <v>-40386</v>
      </c>
      <c r="K61" s="20">
        <v>-43814</v>
      </c>
      <c r="L61" s="20">
        <v>-51181</v>
      </c>
      <c r="M61" s="20">
        <v>-43768</v>
      </c>
      <c r="N61" s="20">
        <v>-27887</v>
      </c>
      <c r="O61" s="20">
        <v>-45770</v>
      </c>
      <c r="P61" s="20">
        <v>-41236</v>
      </c>
      <c r="Q61" s="20">
        <f>-(75168-2731.82)</f>
        <v>-72436.179999999993</v>
      </c>
      <c r="R61" s="20">
        <v>-42650</v>
      </c>
      <c r="S61" s="20">
        <v>-45303</v>
      </c>
      <c r="T61" s="20">
        <v>-43000</v>
      </c>
    </row>
    <row r="62" spans="2:20" s="4" customFormat="1" ht="15" hidden="1" customHeight="1" x14ac:dyDescent="0.3">
      <c r="B62" s="23"/>
      <c r="C62" s="42" t="s">
        <v>34</v>
      </c>
      <c r="D62" s="37">
        <f>D60+D61</f>
        <v>-9071</v>
      </c>
      <c r="E62" s="37">
        <f t="shared" ref="E62:F62" si="31">E60+E61</f>
        <v>-8158.6100000000006</v>
      </c>
      <c r="F62" s="37">
        <f t="shared" si="31"/>
        <v>-10436</v>
      </c>
      <c r="G62" s="37">
        <f t="shared" ref="G62:T62" si="32">SUM(G60:G61)</f>
        <v>-8883</v>
      </c>
      <c r="H62" s="37">
        <f t="shared" si="32"/>
        <v>-13363</v>
      </c>
      <c r="I62" s="37">
        <f t="shared" si="32"/>
        <v>-15012</v>
      </c>
      <c r="J62" s="38">
        <f t="shared" si="32"/>
        <v>-17124</v>
      </c>
      <c r="K62" s="38">
        <f t="shared" si="32"/>
        <v>-15019</v>
      </c>
      <c r="L62" s="38">
        <f t="shared" si="32"/>
        <v>-24125</v>
      </c>
      <c r="M62" s="38">
        <f t="shared" si="32"/>
        <v>-17241</v>
      </c>
      <c r="N62" s="38">
        <f t="shared" si="32"/>
        <v>-4077</v>
      </c>
      <c r="O62" s="38">
        <f t="shared" si="32"/>
        <v>-11439</v>
      </c>
      <c r="P62" s="38">
        <f t="shared" si="32"/>
        <v>-10418</v>
      </c>
      <c r="Q62" s="38">
        <f t="shared" ref="Q62" si="33">SUM(Q60:Q61)</f>
        <v>-46162.179999999993</v>
      </c>
      <c r="R62" s="38">
        <f t="shared" si="32"/>
        <v>-8338</v>
      </c>
      <c r="S62" s="38">
        <f t="shared" si="32"/>
        <v>-12068</v>
      </c>
      <c r="T62" s="38">
        <f t="shared" si="32"/>
        <v>-8000</v>
      </c>
    </row>
    <row r="63" spans="2:20" s="4" customFormat="1" ht="15" customHeight="1" x14ac:dyDescent="0.3">
      <c r="B63" s="8" t="s">
        <v>45</v>
      </c>
      <c r="C63" s="41" t="s">
        <v>32</v>
      </c>
      <c r="D63" s="18" t="e">
        <f>SUM(D27,D51,#REF!,D30,D54,D60,D48,D33,#REF!,#REF!,#REF!,#REF!,D42,D57)</f>
        <v>#REF!</v>
      </c>
      <c r="E63" s="18" t="e">
        <f>SUM(E27,E51,#REF!,E30,E54,E60,E48,E33,#REF!,#REF!,#REF!,#REF!,E42,E57)</f>
        <v>#REF!</v>
      </c>
      <c r="F63" s="18" t="e">
        <f>SUM(F27,F51,#REF!,F30,F54,F60,F48,F33,#REF!,#REF!,F42,F57)</f>
        <v>#REF!</v>
      </c>
      <c r="G63" s="18" t="e">
        <f>SUM(G27,G51,#REF!,G30,G54,G60,G48,G33,#REF!,#REF!,G42,G57)</f>
        <v>#REF!</v>
      </c>
      <c r="H63" s="18" t="e">
        <f>SUM(H27,H51,#REF!,H30,H54,H60,H48,H33,#REF!,#REF!,H42,H57)</f>
        <v>#REF!</v>
      </c>
      <c r="I63" s="18" t="e">
        <f>SUM(I27,I51,#REF!,I30,I54,I60,I48,I33,#REF!,#REF!,I42,I57)</f>
        <v>#REF!</v>
      </c>
      <c r="J63" s="27" t="e">
        <f>SUM(J27,J51,#REF!,J30,J54,J60,J48,J33,#REF!,#REF!,J42,J57)</f>
        <v>#REF!</v>
      </c>
      <c r="K63" s="27" t="e">
        <f>SUM(K27,K51,#REF!,K30,K54,K60,K48,K33,#REF!,#REF!,K42,K57)</f>
        <v>#REF!</v>
      </c>
      <c r="L63" s="27" t="e">
        <f>SUM(L27,L51,#REF!,L30,L54,L60,L48,L33,#REF!,#REF!,L42,L57)</f>
        <v>#REF!</v>
      </c>
      <c r="M63" s="27" t="e">
        <f>SUM(M27,M51,#REF!,M30,M54,M60,M48,M33,#REF!,#REF!,M42,M57)</f>
        <v>#REF!</v>
      </c>
      <c r="N63" s="27" t="e">
        <f>SUM(N27,N51,#REF!,N30,N54,N60,N48,N33,#REF!,#REF!,N42,N45,N57)</f>
        <v>#REF!</v>
      </c>
      <c r="O63" s="27" t="e">
        <f>SUM(O27,O51,#REF!,O30,O54,O60,O48,O33,#REF!,#REF!,O42,O45,O57)</f>
        <v>#REF!</v>
      </c>
      <c r="P63" s="27">
        <f>SUM(P27,P30,P33,P36,P39,P42,P45,P48,P51,P54,P57,P60)</f>
        <v>1044011</v>
      </c>
      <c r="Q63" s="27">
        <f>SUM(Q27,Q30,Q33,Q36,Q39,Q42,Q45,Q48,Q51,Q54,Q57,Q60)</f>
        <v>1111646</v>
      </c>
      <c r="R63" s="27">
        <f t="shared" ref="R63:T64" si="34">SUM(R27,R30,R33,R36,R39,R42,R45,R48,R51,R54,R57,R60)</f>
        <v>1009067</v>
      </c>
      <c r="S63" s="27">
        <f t="shared" si="34"/>
        <v>1049704</v>
      </c>
      <c r="T63" s="27">
        <f t="shared" si="34"/>
        <v>1052869</v>
      </c>
    </row>
    <row r="64" spans="2:20" s="4" customFormat="1" ht="15" customHeight="1" x14ac:dyDescent="0.3">
      <c r="B64" s="23"/>
      <c r="C64" s="41" t="s">
        <v>33</v>
      </c>
      <c r="D64" s="18" t="e">
        <f>SUM(D28,D52,#REF!,D31,D55,D61,D49,D34,#REF!,#REF!,#REF!,#REF!,D43,D58)</f>
        <v>#REF!</v>
      </c>
      <c r="E64" s="18" t="e">
        <f>SUM(E28,E52,#REF!,E31,E55,E61,E49,E34,#REF!,#REF!,#REF!,#REF!,E43,E58)</f>
        <v>#REF!</v>
      </c>
      <c r="F64" s="18" t="e">
        <f>SUM(F28,F52,#REF!,F31,F55,F61,F49,F34,#REF!,#REF!,F43,F58)</f>
        <v>#REF!</v>
      </c>
      <c r="G64" s="18" t="e">
        <f>SUM(G28,G52,#REF!,G31,G55,G61,G49,G34,#REF!,#REF!,G43,G58)</f>
        <v>#REF!</v>
      </c>
      <c r="H64" s="18" t="e">
        <f>SUM(H28,H52,#REF!,H31,H55,H61,H49,H34,#REF!,#REF!,H43,H58)</f>
        <v>#REF!</v>
      </c>
      <c r="I64" s="18" t="e">
        <f>SUM(I28,I52,#REF!,I31,I55,I61,I49,I34,#REF!,#REF!,I43,I58)</f>
        <v>#REF!</v>
      </c>
      <c r="J64" s="27" t="e">
        <f>SUM(J28,J52,#REF!,J31,J55,J61,J49,J34,#REF!,#REF!,J43,J58)</f>
        <v>#REF!</v>
      </c>
      <c r="K64" s="27" t="e">
        <f>SUM(K28,K52,#REF!,K31,K55,K61,K49,K34,#REF!,#REF!,K43,K58)</f>
        <v>#REF!</v>
      </c>
      <c r="L64" s="27" t="e">
        <f>SUM(L28,L52,#REF!,L31,L55,L61,L49,L34,#REF!,#REF!,L43,L58)</f>
        <v>#REF!</v>
      </c>
      <c r="M64" s="27" t="e">
        <f>SUM(M28,M52,#REF!,M31,M55,M61,M49,M34,#REF!,#REF!,M43,M58)</f>
        <v>#REF!</v>
      </c>
      <c r="N64" s="27" t="e">
        <f>SUM(N28,N52,#REF!,N31,N55,N61,N49,N34,#REF!,#REF!,N43,N46,N58)</f>
        <v>#REF!</v>
      </c>
      <c r="O64" s="27" t="e">
        <f>SUM(O28,O52,#REF!,O31,O55,O61,O49,O34,#REF!,#REF!,O43,O46,O58)</f>
        <v>#REF!</v>
      </c>
      <c r="P64" s="27">
        <f>SUM(P28,P31,P34,P37,P40,P43,P46,P49,P52,P55,P58,P61)</f>
        <v>-990144</v>
      </c>
      <c r="Q64" s="27">
        <f>SUM(Q28,Q31,Q34,Q37,Q40,Q43,Q46,Q49,Q52,Q55,Q58,Q61)</f>
        <v>-1097046</v>
      </c>
      <c r="R64" s="27">
        <f t="shared" si="34"/>
        <v>-1004411</v>
      </c>
      <c r="S64" s="27">
        <f t="shared" si="34"/>
        <v>-1004342</v>
      </c>
      <c r="T64" s="27">
        <f t="shared" si="34"/>
        <v>-1096370</v>
      </c>
    </row>
    <row r="65" spans="2:20" s="23" customFormat="1" ht="15" customHeight="1" x14ac:dyDescent="0.3">
      <c r="B65" s="45"/>
      <c r="C65" s="46" t="s">
        <v>34</v>
      </c>
      <c r="D65" s="47">
        <v>10499</v>
      </c>
      <c r="E65" s="47">
        <v>-6521</v>
      </c>
      <c r="F65" s="47" t="e">
        <f t="shared" ref="F65:T65" si="35">F63+F64</f>
        <v>#REF!</v>
      </c>
      <c r="G65" s="47" t="e">
        <f t="shared" si="35"/>
        <v>#REF!</v>
      </c>
      <c r="H65" s="47" t="e">
        <f t="shared" si="35"/>
        <v>#REF!</v>
      </c>
      <c r="I65" s="47" t="e">
        <f t="shared" si="35"/>
        <v>#REF!</v>
      </c>
      <c r="J65" s="48" t="e">
        <f t="shared" si="35"/>
        <v>#REF!</v>
      </c>
      <c r="K65" s="48" t="e">
        <f t="shared" si="35"/>
        <v>#REF!</v>
      </c>
      <c r="L65" s="48" t="e">
        <f t="shared" si="35"/>
        <v>#REF!</v>
      </c>
      <c r="M65" s="48" t="e">
        <f t="shared" si="35"/>
        <v>#REF!</v>
      </c>
      <c r="N65" s="49" t="e">
        <f t="shared" si="35"/>
        <v>#REF!</v>
      </c>
      <c r="O65" s="48" t="e">
        <f t="shared" si="35"/>
        <v>#REF!</v>
      </c>
      <c r="P65" s="48">
        <f t="shared" si="35"/>
        <v>53867</v>
      </c>
      <c r="Q65" s="48">
        <f t="shared" si="35"/>
        <v>14600</v>
      </c>
      <c r="R65" s="48">
        <f t="shared" si="35"/>
        <v>4656</v>
      </c>
      <c r="S65" s="48">
        <f t="shared" si="35"/>
        <v>45362</v>
      </c>
      <c r="T65" s="48">
        <f t="shared" si="35"/>
        <v>-43501</v>
      </c>
    </row>
    <row r="66" spans="2:20" s="4" customFormat="1" ht="15" customHeight="1" x14ac:dyDescent="0.3">
      <c r="B66" s="8"/>
      <c r="C66" s="9"/>
      <c r="D66" s="18"/>
      <c r="E66" s="18"/>
      <c r="F66" s="18"/>
      <c r="G66" s="18"/>
      <c r="H66" s="18"/>
      <c r="I66" s="18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</row>
    <row r="67" spans="2:20" s="4" customFormat="1" ht="15" customHeight="1" x14ac:dyDescent="0.3">
      <c r="B67" s="16" t="s">
        <v>46</v>
      </c>
      <c r="C67" s="17"/>
      <c r="D67" s="18">
        <v>-84000</v>
      </c>
      <c r="E67" s="18">
        <v>-85500</v>
      </c>
      <c r="F67" s="18">
        <v>-121198</v>
      </c>
      <c r="G67" s="18">
        <v>-132761</v>
      </c>
      <c r="H67" s="19">
        <v>-195577</v>
      </c>
      <c r="I67" s="19">
        <v>-348592</v>
      </c>
      <c r="J67" s="20">
        <v>-202109</v>
      </c>
      <c r="K67" s="20">
        <v>-198317</v>
      </c>
      <c r="L67" s="20">
        <v>-204360</v>
      </c>
      <c r="M67" s="20">
        <v>-212923</v>
      </c>
      <c r="N67" s="20">
        <v>-207962</v>
      </c>
      <c r="O67" s="20">
        <v>-213206</v>
      </c>
      <c r="P67" s="20">
        <v>-220055</v>
      </c>
      <c r="Q67" s="20">
        <v>-222131</v>
      </c>
      <c r="R67" s="20">
        <v>-229789.2</v>
      </c>
      <c r="S67" s="20">
        <v>-229790</v>
      </c>
      <c r="T67" s="20">
        <v>-238460</v>
      </c>
    </row>
    <row r="68" spans="2:20" s="4" customFormat="1" ht="15" customHeight="1" x14ac:dyDescent="0.3">
      <c r="B68" s="16" t="s">
        <v>57</v>
      </c>
      <c r="C68" s="17"/>
      <c r="D68" s="18"/>
      <c r="E68" s="18"/>
      <c r="F68" s="18"/>
      <c r="G68" s="18"/>
      <c r="H68" s="19"/>
      <c r="I68" s="19"/>
      <c r="J68" s="20"/>
      <c r="K68" s="20"/>
      <c r="L68" s="20"/>
      <c r="M68" s="20"/>
      <c r="N68" s="20"/>
      <c r="O68" s="20"/>
      <c r="P68" s="20"/>
      <c r="Q68" s="20">
        <v>0</v>
      </c>
      <c r="R68" s="20">
        <v>0</v>
      </c>
      <c r="S68" s="20">
        <v>0</v>
      </c>
      <c r="T68" s="65">
        <v>-138000</v>
      </c>
    </row>
    <row r="69" spans="2:20" s="4" customFormat="1" ht="15" customHeight="1" x14ac:dyDescent="0.3">
      <c r="B69" s="50" t="s">
        <v>47</v>
      </c>
      <c r="C69" s="17"/>
      <c r="D69" s="18">
        <v>0</v>
      </c>
      <c r="E69" s="18">
        <v>-30000</v>
      </c>
      <c r="F69" s="18">
        <v>0</v>
      </c>
      <c r="G69" s="18">
        <v>-20000</v>
      </c>
      <c r="H69" s="19">
        <v>0</v>
      </c>
      <c r="I69" s="19">
        <v>-150000</v>
      </c>
      <c r="J69" s="20">
        <v>-150000</v>
      </c>
      <c r="K69" s="20">
        <v>0</v>
      </c>
      <c r="L69" s="20">
        <v>0</v>
      </c>
      <c r="M69" s="20">
        <v>0</v>
      </c>
      <c r="N69" s="20">
        <v>-2068</v>
      </c>
      <c r="O69" s="20">
        <v>-41946</v>
      </c>
      <c r="P69" s="20">
        <v>-3000</v>
      </c>
      <c r="Q69" s="20">
        <v>-45110</v>
      </c>
      <c r="R69" s="20">
        <v>0</v>
      </c>
      <c r="S69" s="67">
        <v>-842227</v>
      </c>
      <c r="T69" s="67">
        <v>-108247</v>
      </c>
    </row>
    <row r="70" spans="2:20" s="4" customFormat="1" ht="15" customHeight="1" x14ac:dyDescent="0.3">
      <c r="B70" s="16" t="s">
        <v>48</v>
      </c>
      <c r="C70" s="17"/>
      <c r="D70" s="18">
        <v>0</v>
      </c>
      <c r="E70" s="18">
        <v>0</v>
      </c>
      <c r="F70" s="18">
        <v>0</v>
      </c>
      <c r="G70" s="18">
        <v>0</v>
      </c>
      <c r="H70" s="18">
        <v>-138539</v>
      </c>
      <c r="I70" s="18">
        <v>-98936</v>
      </c>
      <c r="J70" s="27">
        <v>-208567</v>
      </c>
      <c r="K70" s="27">
        <f>-(559298-474044)</f>
        <v>-85254</v>
      </c>
      <c r="L70" s="20">
        <v>0</v>
      </c>
      <c r="M70" s="20">
        <v>-29569</v>
      </c>
      <c r="N70" s="20">
        <v>-30447</v>
      </c>
      <c r="O70" s="20">
        <v>0</v>
      </c>
      <c r="P70" s="20">
        <v>-52900</v>
      </c>
      <c r="Q70" s="20">
        <v>-168394</v>
      </c>
      <c r="R70" s="20">
        <v>0</v>
      </c>
      <c r="S70" s="20">
        <v>-9580</v>
      </c>
      <c r="T70" s="68">
        <v>-20000</v>
      </c>
    </row>
    <row r="71" spans="2:20" s="4" customFormat="1" ht="15" customHeight="1" x14ac:dyDescent="0.3">
      <c r="B71" s="50" t="s">
        <v>49</v>
      </c>
      <c r="C71" s="17"/>
      <c r="D71" s="18"/>
      <c r="E71" s="18"/>
      <c r="F71" s="18"/>
      <c r="G71" s="18"/>
      <c r="H71" s="19"/>
      <c r="I71" s="19"/>
      <c r="J71" s="20">
        <v>0</v>
      </c>
      <c r="K71" s="20">
        <v>38909</v>
      </c>
      <c r="L71" s="20">
        <f>3564+7597</f>
        <v>11161</v>
      </c>
      <c r="M71" s="20">
        <f>33526+85000</f>
        <v>118526</v>
      </c>
      <c r="N71" s="20">
        <v>20000</v>
      </c>
      <c r="O71" s="20">
        <v>26600</v>
      </c>
      <c r="P71" s="20">
        <v>52900</v>
      </c>
      <c r="Q71" s="20">
        <v>181394</v>
      </c>
      <c r="R71" s="20">
        <v>0</v>
      </c>
      <c r="S71" s="20">
        <v>9580</v>
      </c>
      <c r="T71" s="20">
        <v>0</v>
      </c>
    </row>
    <row r="72" spans="2:20" s="4" customFormat="1" ht="15" customHeight="1" x14ac:dyDescent="0.3">
      <c r="B72" s="50" t="s">
        <v>58</v>
      </c>
      <c r="C72" s="17"/>
      <c r="D72" s="18"/>
      <c r="E72" s="18"/>
      <c r="F72" s="18"/>
      <c r="G72" s="18"/>
      <c r="H72" s="19"/>
      <c r="I72" s="19"/>
      <c r="J72" s="20"/>
      <c r="K72" s="20"/>
      <c r="L72" s="20"/>
      <c r="M72" s="20"/>
      <c r="N72" s="20"/>
      <c r="O72" s="20"/>
      <c r="P72" s="20"/>
      <c r="Q72" s="20">
        <v>0</v>
      </c>
      <c r="R72" s="20">
        <v>0</v>
      </c>
      <c r="S72" s="66">
        <v>-461550</v>
      </c>
      <c r="T72" s="20">
        <v>0</v>
      </c>
    </row>
    <row r="73" spans="2:20" s="4" customFormat="1" ht="15" customHeight="1" x14ac:dyDescent="0.3">
      <c r="B73" s="45"/>
      <c r="C73" s="28" t="s">
        <v>50</v>
      </c>
      <c r="D73" s="29" t="e">
        <f>D25+D65+D67+D69+D70+#REF!+#REF!+#REF!</f>
        <v>#REF!</v>
      </c>
      <c r="E73" s="29" t="e">
        <f>E25+E65+E67+E69+E70+#REF!+#REF!+#REF!</f>
        <v>#REF!</v>
      </c>
      <c r="F73" s="29" t="e">
        <f>F25+F65+F67+F69+F70+#REF!+#REF!+#REF!</f>
        <v>#REF!</v>
      </c>
      <c r="G73" s="29" t="e">
        <f>G25+G65+G67+G69+G70+#REF!+#REF!+#REF!</f>
        <v>#REF!</v>
      </c>
      <c r="H73" s="29" t="e">
        <f>H25+H65+H67+H69+H70+#REF!+#REF!+#REF!</f>
        <v>#REF!</v>
      </c>
      <c r="I73" s="29" t="e">
        <f>I25+I65+I67+I69+I70+#REF!+#REF!+#REF!</f>
        <v>#REF!</v>
      </c>
      <c r="J73" s="51" t="e">
        <f>J25+J65+J67+J69+J70+#REF!+#REF!+#REF!</f>
        <v>#REF!</v>
      </c>
      <c r="K73" s="51" t="e">
        <f>K25+K65+K67+K69++K71+K70+#REF!+#REF!+#REF!</f>
        <v>#REF!</v>
      </c>
      <c r="L73" s="51" t="e">
        <f>L25+L65+L67+L69++L71+L70+#REF!+#REF!+#REF!</f>
        <v>#REF!</v>
      </c>
      <c r="M73" s="51" t="e">
        <f>M25+M65+M67+M69++M71+M70+#REF!+#REF!+#REF!</f>
        <v>#REF!</v>
      </c>
      <c r="N73" s="52" t="e">
        <f>N25+N65+N67+N69++N71+N70+#REF!+#REF!+#REF!</f>
        <v>#REF!</v>
      </c>
      <c r="O73" s="51" t="e">
        <f>O25+O65+O67+O68+O69+O70+O71+O72</f>
        <v>#REF!</v>
      </c>
      <c r="P73" s="51">
        <f>P25+P65+P67+P68+P69+P70+P71+P72</f>
        <v>-195516</v>
      </c>
      <c r="Q73" s="51">
        <f>Q25+Q65+Q67+Q68+Q69+Q70+Q71+Q72</f>
        <v>-344765</v>
      </c>
      <c r="R73" s="51">
        <v>0</v>
      </c>
      <c r="S73" s="51">
        <f>S25+S65+S67+S68+S69+S70+S71+S72</f>
        <v>0</v>
      </c>
      <c r="T73" s="51">
        <f>T25+T65+T67+T68+T69+T70+T71+T72</f>
        <v>0</v>
      </c>
    </row>
    <row r="74" spans="2:20" s="4" customFormat="1" ht="7.5" customHeight="1" x14ac:dyDescent="0.3">
      <c r="B74" s="8"/>
      <c r="C74" s="9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2:20" s="58" customFormat="1" ht="15" customHeight="1" x14ac:dyDescent="0.3">
      <c r="B75" s="53"/>
      <c r="C75" s="54"/>
      <c r="D75" s="55"/>
      <c r="E75" s="55"/>
      <c r="F75" s="56"/>
      <c r="G75" s="55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</row>
    <row r="76" spans="2:20" s="4" customFormat="1" ht="15" customHeight="1" x14ac:dyDescent="0.3">
      <c r="B76" s="43"/>
      <c r="C76" s="59"/>
      <c r="D76" s="60"/>
      <c r="E76" s="9"/>
      <c r="F76" s="14"/>
      <c r="G76" s="60"/>
      <c r="H76" s="18"/>
      <c r="I76" s="18"/>
      <c r="J76" s="18"/>
      <c r="K76" s="18"/>
      <c r="L76" s="18"/>
      <c r="M76" s="18"/>
      <c r="N76" s="18"/>
      <c r="O76" s="18"/>
      <c r="P76" s="18"/>
      <c r="Q76" s="18"/>
      <c r="S76" s="18"/>
      <c r="T76" s="18"/>
    </row>
    <row r="77" spans="2:20" s="4" customFormat="1" ht="15" customHeight="1" x14ac:dyDescent="0.3">
      <c r="B77" s="43"/>
      <c r="C77" s="59"/>
      <c r="D77" s="60"/>
      <c r="E77" s="9"/>
      <c r="F77" s="14"/>
      <c r="G77" s="60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2:20" s="4" customFormat="1" ht="14.25" customHeight="1" x14ac:dyDescent="0.3">
      <c r="B78" s="61"/>
      <c r="C78" s="60"/>
      <c r="D78" s="60"/>
      <c r="E78" s="9"/>
      <c r="F78" s="14"/>
      <c r="G78" s="60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s="4" customFormat="1" ht="14.25" customHeight="1" x14ac:dyDescent="0.3">
      <c r="B79" s="61"/>
      <c r="C79" s="60"/>
      <c r="D79" s="60"/>
      <c r="E79" s="9"/>
      <c r="F79" s="14"/>
      <c r="G79" s="60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2:20" s="4" customFormat="1" ht="14.25" customHeight="1" x14ac:dyDescent="0.3">
      <c r="B80" s="61"/>
      <c r="C80" s="60"/>
      <c r="D80" s="60"/>
      <c r="E80" s="9"/>
      <c r="F80" s="14"/>
      <c r="G80" s="60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2:20" s="4" customFormat="1" ht="14.25" customHeight="1" x14ac:dyDescent="0.3">
      <c r="B81" s="61"/>
      <c r="C81" s="60"/>
      <c r="D81" s="60"/>
      <c r="E81" s="9"/>
      <c r="F81" s="14"/>
      <c r="G81" s="60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2:20" s="4" customFormat="1" ht="14.25" customHeight="1" x14ac:dyDescent="0.3">
      <c r="B82" s="61"/>
      <c r="C82" s="60"/>
      <c r="D82" s="60"/>
      <c r="E82" s="9"/>
      <c r="F82" s="14"/>
      <c r="G82" s="60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2:20" s="4" customFormat="1" ht="14.25" customHeight="1" x14ac:dyDescent="0.3">
      <c r="B83" s="61"/>
      <c r="C83" s="60"/>
      <c r="D83" s="60"/>
      <c r="E83" s="9"/>
      <c r="F83" s="14"/>
      <c r="G83" s="60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0" s="4" customFormat="1" ht="14.25" customHeight="1" x14ac:dyDescent="0.3">
      <c r="B84" s="61"/>
      <c r="C84" s="60"/>
      <c r="D84" s="60"/>
      <c r="E84" s="9"/>
      <c r="F84" s="14"/>
      <c r="G84" s="60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2:20" s="4" customFormat="1" ht="14.25" customHeight="1" x14ac:dyDescent="0.3">
      <c r="B85" s="61"/>
      <c r="C85" s="60"/>
      <c r="D85" s="60"/>
      <c r="E85" s="9"/>
      <c r="F85" s="14"/>
      <c r="G85" s="60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2:20" s="4" customFormat="1" ht="14.25" customHeight="1" x14ac:dyDescent="0.3">
      <c r="B86" s="61"/>
      <c r="C86" s="60"/>
      <c r="D86" s="60"/>
      <c r="E86" s="9"/>
      <c r="F86" s="14"/>
      <c r="G86" s="60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2:20" s="4" customFormat="1" ht="14.25" customHeight="1" x14ac:dyDescent="0.3">
      <c r="B87" s="61"/>
      <c r="C87" s="60"/>
      <c r="D87" s="60"/>
      <c r="E87" s="9"/>
      <c r="F87" s="14"/>
      <c r="G87" s="60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2:20" s="4" customFormat="1" ht="14.25" customHeight="1" x14ac:dyDescent="0.3">
      <c r="B88" s="23"/>
      <c r="E88" s="33"/>
      <c r="F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2:20" s="4" customFormat="1" ht="14.25" customHeight="1" x14ac:dyDescent="0.3">
      <c r="B89" s="23"/>
      <c r="E89" s="33"/>
      <c r="F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</sheetData>
  <mergeCells count="16">
    <mergeCell ref="I4:I5"/>
    <mergeCell ref="D4:D5"/>
    <mergeCell ref="E4:E5"/>
    <mergeCell ref="F4:F5"/>
    <mergeCell ref="G4:G5"/>
    <mergeCell ref="H4:H5"/>
    <mergeCell ref="Q4:Q5"/>
    <mergeCell ref="R4:R5"/>
    <mergeCell ref="S4:S5"/>
    <mergeCell ref="T4:T5"/>
    <mergeCell ref="J4:J5"/>
    <mergeCell ref="K4:K5"/>
    <mergeCell ref="L4:L5"/>
    <mergeCell ref="M4:M5"/>
    <mergeCell ref="N4:N5"/>
    <mergeCell ref="P4:P5"/>
  </mergeCells>
  <printOptions horizontalCentered="1" verticalCentered="1"/>
  <pageMargins left="0.5" right="0.5" top="0.5" bottom="0.5" header="0.5" footer="0.5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 Spending Plan</vt:lpstr>
      <vt:lpstr>2025-26 Spending Plan Summary</vt:lpstr>
      <vt:lpstr>'2025-26 Spending Plan'!Print_Area</vt:lpstr>
      <vt:lpstr>'2025-26 Spending Plan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Anderson</dc:creator>
  <cp:lastModifiedBy>Tom Anderson</cp:lastModifiedBy>
  <cp:lastPrinted>2026-04-19T14:41:21Z</cp:lastPrinted>
  <dcterms:created xsi:type="dcterms:W3CDTF">2024-04-22T20:42:28Z</dcterms:created>
  <dcterms:modified xsi:type="dcterms:W3CDTF">2026-04-29T01:33:47Z</dcterms:modified>
</cp:coreProperties>
</file>