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orebancshares-my.sharepoint.com/personal/maria_reichart_shoreunitedbank_com/Documents/Documents/Maria-personal/Church/Greater Impact/Financial Reports/2024-2025/"/>
    </mc:Choice>
  </mc:AlternateContent>
  <xr:revisionPtr revIDLastSave="12" documentId="13_ncr:1_{06A129B7-850C-414D-9F0C-4D9A35FDC543}" xr6:coauthVersionLast="47" xr6:coauthVersionMax="47" xr10:uidLastSave="{7726924E-8CC3-42EE-B877-4D286C3A4AD1}"/>
  <bookViews>
    <workbookView xWindow="28680" yWindow="-120" windowWidth="29040" windowHeight="15840" xr2:uid="{B4E2FBD5-4D30-4B4D-AC30-0189C76DEE7E}"/>
  </bookViews>
  <sheets>
    <sheet name="23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5" i="1" l="1"/>
  <c r="P33" i="1"/>
  <c r="P32" i="1"/>
  <c r="P27" i="1"/>
  <c r="P26" i="1"/>
  <c r="P25" i="1"/>
  <c r="P22" i="1"/>
  <c r="P8" i="1"/>
  <c r="P7" i="1"/>
  <c r="P6" i="1"/>
  <c r="P5" i="1"/>
  <c r="Q27" i="1"/>
  <c r="P20" i="1"/>
  <c r="P17" i="1"/>
  <c r="Q17" i="1" s="1"/>
  <c r="P11" i="1"/>
  <c r="P10" i="1"/>
  <c r="Q25" i="1"/>
  <c r="P21" i="1"/>
  <c r="P19" i="1"/>
  <c r="P9" i="1"/>
  <c r="Q7" i="1"/>
  <c r="Q32" i="1"/>
  <c r="Q10" i="1"/>
  <c r="D36" i="1"/>
  <c r="M35" i="1"/>
  <c r="M36" i="1" s="1"/>
  <c r="Q33" i="1"/>
  <c r="Q31" i="1"/>
  <c r="Q30" i="1"/>
  <c r="Q29" i="1"/>
  <c r="Q28" i="1"/>
  <c r="Q26" i="1"/>
  <c r="Q24" i="1"/>
  <c r="Q23" i="1"/>
  <c r="Q22" i="1"/>
  <c r="Q21" i="1"/>
  <c r="Q20" i="1"/>
  <c r="Q19" i="1"/>
  <c r="Q18" i="1"/>
  <c r="Q16" i="1"/>
  <c r="Q15" i="1"/>
  <c r="Q14" i="1"/>
  <c r="Q13" i="1"/>
  <c r="Q12" i="1"/>
  <c r="Q11" i="1"/>
  <c r="Q9" i="1"/>
  <c r="Q8" i="1"/>
  <c r="Q6" i="1"/>
  <c r="Q5" i="1"/>
  <c r="Q4" i="1"/>
  <c r="M33" i="1"/>
  <c r="M32" i="1"/>
  <c r="M30" i="1"/>
  <c r="M26" i="1"/>
  <c r="M25" i="1"/>
  <c r="M23" i="1"/>
  <c r="M22" i="1"/>
  <c r="M21" i="1"/>
  <c r="M20" i="1"/>
  <c r="M19" i="1"/>
  <c r="M18" i="1"/>
  <c r="M17" i="1"/>
  <c r="M14" i="1"/>
  <c r="M13" i="1"/>
  <c r="M11" i="1"/>
  <c r="M10" i="1"/>
  <c r="M9" i="1"/>
  <c r="M8" i="1"/>
  <c r="M7" i="1"/>
  <c r="M6" i="1"/>
  <c r="M5" i="1"/>
  <c r="M4" i="1"/>
  <c r="P34" i="1" l="1"/>
  <c r="P36" i="1" s="1"/>
  <c r="M34" i="1"/>
  <c r="O31" i="1"/>
  <c r="N27" i="1"/>
  <c r="N22" i="1" l="1"/>
  <c r="N34" i="1" s="1"/>
  <c r="O33" i="1"/>
  <c r="O32" i="1"/>
  <c r="O30" i="1"/>
  <c r="O29" i="1"/>
  <c r="O28" i="1"/>
  <c r="O26" i="1"/>
  <c r="O25" i="1"/>
  <c r="O24" i="1"/>
  <c r="O23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5" i="1"/>
  <c r="O4" i="1"/>
  <c r="K27" i="1"/>
  <c r="O27" i="1" s="1"/>
  <c r="O22" i="1" l="1"/>
  <c r="K6" i="1"/>
  <c r="O6" i="1" s="1"/>
  <c r="K34" i="1" l="1"/>
  <c r="O34" i="1" l="1"/>
  <c r="D27" i="1"/>
  <c r="J34" i="1"/>
  <c r="C14" i="1" l="1"/>
  <c r="C6" i="1"/>
  <c r="C25" i="1"/>
  <c r="C32" i="1"/>
  <c r="C33" i="1"/>
  <c r="C7" i="1"/>
  <c r="C22" i="1"/>
  <c r="C8" i="1"/>
  <c r="C20" i="1"/>
  <c r="C26" i="1"/>
  <c r="C17" i="1"/>
  <c r="C24" i="1"/>
  <c r="C9" i="1"/>
  <c r="D9" i="1"/>
  <c r="C4" i="1"/>
  <c r="D11" i="1" l="1"/>
  <c r="D30" i="1"/>
  <c r="D6" i="1"/>
  <c r="C30" i="1" l="1"/>
  <c r="C10" i="1"/>
  <c r="B7" i="1" l="1"/>
  <c r="B25" i="1"/>
  <c r="B32" i="1"/>
  <c r="B9" i="1" l="1"/>
  <c r="B30" i="1"/>
  <c r="B16" i="1"/>
  <c r="B33" i="1"/>
  <c r="B23" i="1"/>
  <c r="B8" i="1"/>
  <c r="B26" i="1"/>
  <c r="C11" i="1"/>
  <c r="B11" i="1"/>
  <c r="B6" i="1"/>
  <c r="B14" i="1"/>
  <c r="C34" i="1" l="1"/>
  <c r="B22" i="1"/>
  <c r="D34" i="1" l="1"/>
  <c r="B34" i="1"/>
</calcChain>
</file>

<file path=xl/sharedStrings.xml><?xml version="1.0" encoding="utf-8"?>
<sst xmlns="http://schemas.openxmlformats.org/spreadsheetml/2006/main" count="67" uniqueCount="62">
  <si>
    <t xml:space="preserve">NCCA Contributions </t>
  </si>
  <si>
    <t>Culinary (Kitchen/Café/Supplies)</t>
  </si>
  <si>
    <t xml:space="preserve">Operation Christmas Child </t>
  </si>
  <si>
    <t>Impact Adventures (VBS)</t>
  </si>
  <si>
    <t xml:space="preserve">Pastoral Care </t>
  </si>
  <si>
    <t xml:space="preserve">General Office </t>
  </si>
  <si>
    <t>Worship/AV</t>
  </si>
  <si>
    <t xml:space="preserve">Security </t>
  </si>
  <si>
    <t xml:space="preserve">Utilities </t>
  </si>
  <si>
    <t xml:space="preserve">Honorariums </t>
  </si>
  <si>
    <t xml:space="preserve">Missions &amp; Missionaries </t>
  </si>
  <si>
    <t xml:space="preserve">District &amp; General Budget </t>
  </si>
  <si>
    <t xml:space="preserve">Miscellaneous </t>
  </si>
  <si>
    <t xml:space="preserve">2020-2021 </t>
  </si>
  <si>
    <t>Mortgage Payment</t>
  </si>
  <si>
    <t xml:space="preserve">Budget </t>
  </si>
  <si>
    <t>Actual to Date</t>
  </si>
  <si>
    <t>Impact Kids</t>
  </si>
  <si>
    <t xml:space="preserve">Impact Men </t>
  </si>
  <si>
    <t xml:space="preserve">Impact Seniors </t>
  </si>
  <si>
    <t xml:space="preserve"> Impact Women </t>
  </si>
  <si>
    <t xml:space="preserve">Insurance </t>
  </si>
  <si>
    <t xml:space="preserve">Renovation Projects </t>
  </si>
  <si>
    <t xml:space="preserve">Pastor Appreciation </t>
  </si>
  <si>
    <t>Facilites Management</t>
  </si>
  <si>
    <t xml:space="preserve">Outreach &amp; Publicity </t>
  </si>
  <si>
    <t>2019-2020 (9-10 months)</t>
  </si>
  <si>
    <t>Merchandising</t>
  </si>
  <si>
    <t xml:space="preserve">Leadership Development </t>
  </si>
  <si>
    <t xml:space="preserve"> Life Groups </t>
  </si>
  <si>
    <t xml:space="preserve">10 months </t>
  </si>
  <si>
    <t>Benevolence</t>
  </si>
  <si>
    <t xml:space="preserve">Actual to Date </t>
  </si>
  <si>
    <t>10 months</t>
  </si>
  <si>
    <t>Pastoral Benefits Package</t>
  </si>
  <si>
    <t xml:space="preserve">Notes </t>
  </si>
  <si>
    <t xml:space="preserve">allocted to special designation item as needed </t>
  </si>
  <si>
    <t xml:space="preserve">set by district </t>
  </si>
  <si>
    <t xml:space="preserve">special groups/speakers </t>
  </si>
  <si>
    <t xml:space="preserve">includes camps; alloocated to special designation item as needed </t>
  </si>
  <si>
    <t xml:space="preserve">includes camps/all associated teen expenses; allocated to special line item </t>
  </si>
  <si>
    <t>insurance $200; donation $800</t>
  </si>
  <si>
    <t>fire department, general outreach,  website, marketing, website/app dev.</t>
  </si>
  <si>
    <t xml:space="preserve">includes Protect my Ministry </t>
  </si>
  <si>
    <t xml:space="preserve">inlcudes pulpit program supplies as needed </t>
  </si>
  <si>
    <t xml:space="preserve">GI North expenses; will track seperately (around $4k annual in utilites) </t>
  </si>
  <si>
    <t xml:space="preserve">$4238 weekly need </t>
  </si>
  <si>
    <t>2023-2024</t>
  </si>
  <si>
    <t>Greater Impact Budget</t>
  </si>
  <si>
    <t>2024-2025</t>
  </si>
  <si>
    <t>APPROVED BUDGET</t>
  </si>
  <si>
    <t>Actual To Date</t>
  </si>
  <si>
    <t>Difference</t>
  </si>
  <si>
    <t xml:space="preserve">  </t>
  </si>
  <si>
    <t xml:space="preserve">Transportation </t>
  </si>
  <si>
    <t>11 MONTHS</t>
  </si>
  <si>
    <r>
      <t>Total-</t>
    </r>
    <r>
      <rPr>
        <b/>
        <i/>
        <sz val="9"/>
        <color theme="1"/>
        <rFont val="Calibri"/>
        <family val="2"/>
        <scheme val="minor"/>
      </rPr>
      <t>Weekly need $4111</t>
    </r>
  </si>
  <si>
    <t xml:space="preserve">% of Budget </t>
  </si>
  <si>
    <t xml:space="preserve">Regular Offerings Received to Date </t>
  </si>
  <si>
    <t xml:space="preserve">Difference </t>
  </si>
  <si>
    <t xml:space="preserve"> Impact Students</t>
  </si>
  <si>
    <t>Actual To Date- 5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</si>
</sst>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42" fontId="0" fillId="0" borderId="1" xfId="1" applyNumberFormat="1" applyFont="1" applyFill="1" applyBorder="1"/>
    <xf numFmtId="6" fontId="0" fillId="0" borderId="1" xfId="1" applyNumberFormat="1" applyFont="1" applyFill="1" applyBorder="1"/>
    <xf numFmtId="3" fontId="0" fillId="0" borderId="0" xfId="0" applyNumberFormat="1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/>
    <xf numFmtId="0" fontId="5" fillId="0" borderId="1" xfId="0" applyFont="1" applyBorder="1"/>
    <xf numFmtId="0" fontId="3" fillId="0" borderId="0" xfId="0" applyFont="1" applyAlignment="1">
      <alignment horizontal="center"/>
    </xf>
    <xf numFmtId="164" fontId="0" fillId="0" borderId="1" xfId="0" applyNumberFormat="1" applyBorder="1"/>
    <xf numFmtId="165" fontId="3" fillId="0" borderId="1" xfId="0" applyNumberFormat="1" applyFont="1" applyBorder="1"/>
    <xf numFmtId="6" fontId="1" fillId="0" borderId="1" xfId="1" applyNumberFormat="1" applyFont="1" applyFill="1" applyBorder="1"/>
    <xf numFmtId="3" fontId="8" fillId="0" borderId="0" xfId="0" applyNumberFormat="1" applyFont="1"/>
    <xf numFmtId="0" fontId="4" fillId="0" borderId="1" xfId="0" applyFont="1" applyBorder="1"/>
    <xf numFmtId="0" fontId="0" fillId="0" borderId="2" xfId="0" applyBorder="1"/>
    <xf numFmtId="42" fontId="0" fillId="0" borderId="2" xfId="1" applyNumberFormat="1" applyFont="1" applyFill="1" applyBorder="1"/>
    <xf numFmtId="164" fontId="0" fillId="0" borderId="2" xfId="0" applyNumberFormat="1" applyBorder="1"/>
    <xf numFmtId="0" fontId="9" fillId="0" borderId="1" xfId="0" applyFont="1" applyBorder="1"/>
    <xf numFmtId="3" fontId="3" fillId="0" borderId="0" xfId="0" applyNumberFormat="1" applyFont="1"/>
    <xf numFmtId="165" fontId="3" fillId="0" borderId="2" xfId="0" applyNumberFormat="1" applyFont="1" applyBorder="1"/>
    <xf numFmtId="3" fontId="3" fillId="0" borderId="0" xfId="0" applyNumberFormat="1" applyFont="1" applyAlignment="1">
      <alignment horizontal="center" wrapText="1"/>
    </xf>
    <xf numFmtId="165" fontId="0" fillId="0" borderId="1" xfId="0" applyNumberFormat="1" applyBorder="1"/>
    <xf numFmtId="165" fontId="3" fillId="0" borderId="1" xfId="1" applyNumberFormat="1" applyFont="1" applyFill="1" applyBorder="1"/>
    <xf numFmtId="9" fontId="0" fillId="0" borderId="1" xfId="0" applyNumberFormat="1" applyBorder="1"/>
    <xf numFmtId="0" fontId="3" fillId="0" borderId="1" xfId="0" applyFont="1" applyBorder="1"/>
    <xf numFmtId="165" fontId="4" fillId="0" borderId="1" xfId="0" applyNumberFormat="1" applyFont="1" applyBorder="1"/>
    <xf numFmtId="164" fontId="3" fillId="0" borderId="1" xfId="0" applyNumberFormat="1" applyFont="1" applyBorder="1"/>
    <xf numFmtId="3" fontId="0" fillId="0" borderId="1" xfId="0" applyNumberFormat="1" applyBorder="1"/>
    <xf numFmtId="42" fontId="3" fillId="0" borderId="1" xfId="1" applyNumberFormat="1" applyFont="1" applyFill="1" applyBorder="1"/>
    <xf numFmtId="164" fontId="10" fillId="0" borderId="1" xfId="0" applyNumberFormat="1" applyFont="1" applyBorder="1" applyAlignment="1">
      <alignment horizontal="left"/>
    </xf>
    <xf numFmtId="165" fontId="0" fillId="0" borderId="1" xfId="1" applyNumberFormat="1" applyFont="1" applyBorder="1"/>
    <xf numFmtId="0" fontId="12" fillId="0" borderId="1" xfId="0" applyFont="1" applyBorder="1"/>
    <xf numFmtId="42" fontId="12" fillId="0" borderId="1" xfId="0" applyNumberFormat="1" applyFont="1" applyBorder="1"/>
    <xf numFmtId="42" fontId="13" fillId="0" borderId="1" xfId="0" applyNumberFormat="1" applyFont="1" applyBorder="1"/>
    <xf numFmtId="0" fontId="11" fillId="0" borderId="1" xfId="0" applyFont="1" applyBorder="1"/>
    <xf numFmtId="165" fontId="12" fillId="0" borderId="1" xfId="0" applyNumberFormat="1" applyFont="1" applyBorder="1"/>
    <xf numFmtId="164" fontId="12" fillId="0" borderId="1" xfId="0" applyNumberFormat="1" applyFont="1" applyBorder="1"/>
    <xf numFmtId="3" fontId="12" fillId="0" borderId="1" xfId="0" applyNumberFormat="1" applyFont="1" applyBorder="1"/>
    <xf numFmtId="0" fontId="3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55668-AF48-48EF-BA46-BEAF2DDA0AE8}">
  <sheetPr>
    <pageSetUpPr fitToPage="1"/>
  </sheetPr>
  <dimension ref="A1:S36"/>
  <sheetViews>
    <sheetView tabSelected="1" topLeftCell="A2" workbookViewId="0">
      <selection activeCell="X26" sqref="X26"/>
    </sheetView>
  </sheetViews>
  <sheetFormatPr defaultColWidth="8.85546875" defaultRowHeight="15" x14ac:dyDescent="0.25"/>
  <cols>
    <col min="1" max="1" width="47.42578125" customWidth="1"/>
    <col min="2" max="2" width="25" hidden="1" customWidth="1"/>
    <col min="3" max="3" width="20.7109375" hidden="1" customWidth="1"/>
    <col min="4" max="4" width="15.140625" hidden="1" customWidth="1"/>
    <col min="5" max="5" width="8.140625" hidden="1" customWidth="1"/>
    <col min="6" max="6" width="4.28515625" hidden="1" customWidth="1"/>
    <col min="7" max="9" width="0.140625" customWidth="1"/>
    <col min="10" max="10" width="17.42578125" hidden="1" customWidth="1"/>
    <col min="11" max="11" width="14.140625" style="6" hidden="1" customWidth="1"/>
    <col min="12" max="12" width="62.28515625" hidden="1" customWidth="1"/>
    <col min="13" max="13" width="13.85546875" hidden="1" customWidth="1"/>
    <col min="14" max="14" width="14.140625" style="6" customWidth="1"/>
    <col min="15" max="15" width="11.140625" hidden="1" customWidth="1"/>
    <col min="16" max="16" width="13.85546875" bestFit="1" customWidth="1"/>
    <col min="17" max="17" width="12" bestFit="1" customWidth="1"/>
    <col min="18" max="18" width="30.140625" customWidth="1"/>
  </cols>
  <sheetData>
    <row r="1" spans="1:18" ht="30.75" x14ac:dyDescent="0.3">
      <c r="A1" s="3" t="s">
        <v>48</v>
      </c>
      <c r="B1" s="9" t="s">
        <v>15</v>
      </c>
      <c r="C1" s="9" t="s">
        <v>16</v>
      </c>
      <c r="D1" s="9"/>
      <c r="K1" s="24" t="s">
        <v>50</v>
      </c>
      <c r="N1" s="16" t="s">
        <v>49</v>
      </c>
      <c r="P1" s="42" t="s">
        <v>61</v>
      </c>
      <c r="Q1" s="12" t="s">
        <v>57</v>
      </c>
      <c r="R1" s="12" t="s">
        <v>35</v>
      </c>
    </row>
    <row r="2" spans="1:18" ht="18.75" x14ac:dyDescent="0.3">
      <c r="A2" s="3"/>
      <c r="B2" s="7" t="s">
        <v>26</v>
      </c>
      <c r="C2" s="8" t="s">
        <v>30</v>
      </c>
      <c r="D2" s="8" t="s">
        <v>13</v>
      </c>
      <c r="E2" s="7"/>
      <c r="F2" s="7"/>
      <c r="G2" s="7"/>
      <c r="H2" s="7"/>
      <c r="I2" s="7"/>
      <c r="J2" s="7" t="s">
        <v>32</v>
      </c>
      <c r="K2" s="16" t="s">
        <v>47</v>
      </c>
      <c r="L2" s="12" t="s">
        <v>35</v>
      </c>
      <c r="M2" s="12" t="s">
        <v>51</v>
      </c>
      <c r="N2" s="16"/>
      <c r="O2" s="12" t="s">
        <v>52</v>
      </c>
    </row>
    <row r="3" spans="1:18" ht="18.75" x14ac:dyDescent="0.3">
      <c r="A3" s="1"/>
      <c r="J3" s="12" t="s">
        <v>33</v>
      </c>
      <c r="K3" s="22"/>
      <c r="M3" s="12" t="s">
        <v>55</v>
      </c>
      <c r="N3" s="22"/>
    </row>
    <row r="4" spans="1:18" x14ac:dyDescent="0.25">
      <c r="A4" s="10" t="s">
        <v>31</v>
      </c>
      <c r="B4" s="4">
        <v>2400</v>
      </c>
      <c r="C4" s="4">
        <f>1900+300</f>
        <v>2200</v>
      </c>
      <c r="D4" s="4">
        <v>4000</v>
      </c>
      <c r="J4" s="13">
        <v>1666</v>
      </c>
      <c r="K4" s="14">
        <v>3600</v>
      </c>
      <c r="L4" s="17" t="s">
        <v>36</v>
      </c>
      <c r="M4" s="13">
        <f>900+900+600+1000</f>
        <v>3400</v>
      </c>
      <c r="N4" s="14">
        <v>3000</v>
      </c>
      <c r="O4" s="25">
        <f>N4-K4</f>
        <v>-600</v>
      </c>
      <c r="P4" s="25">
        <v>750</v>
      </c>
      <c r="Q4" s="27">
        <f>P4/N4</f>
        <v>0.25</v>
      </c>
      <c r="R4" s="10"/>
    </row>
    <row r="5" spans="1:18" x14ac:dyDescent="0.25">
      <c r="A5" s="10" t="s">
        <v>1</v>
      </c>
      <c r="B5" s="4"/>
      <c r="C5" s="4">
        <v>1989</v>
      </c>
      <c r="D5" s="5">
        <v>3000</v>
      </c>
      <c r="E5" s="2"/>
      <c r="F5" s="2"/>
      <c r="G5" s="2"/>
      <c r="H5" s="2"/>
      <c r="I5" s="2"/>
      <c r="J5" s="13">
        <v>69.94</v>
      </c>
      <c r="K5" s="14">
        <v>800</v>
      </c>
      <c r="L5" s="17"/>
      <c r="M5" s="13">
        <f>122.76+90.28+251.1+122.63+69.98+118.04+47.68+177.1+283.31+163.47+324.6</f>
        <v>1770.9499999999998</v>
      </c>
      <c r="N5" s="14">
        <v>1600</v>
      </c>
      <c r="O5" s="25">
        <f t="shared" ref="O5:O34" si="0">N5-K5</f>
        <v>800</v>
      </c>
      <c r="P5" s="25">
        <f>135.62+164.94+140.51+102.19+34.99</f>
        <v>578.25</v>
      </c>
      <c r="Q5" s="27">
        <f t="shared" ref="Q5:Q32" si="1">P5/N5</f>
        <v>0.36140624999999998</v>
      </c>
      <c r="R5" s="13"/>
    </row>
    <row r="6" spans="1:18" x14ac:dyDescent="0.25">
      <c r="A6" s="10" t="s">
        <v>11</v>
      </c>
      <c r="B6" s="4">
        <f>12321+475</f>
        <v>12796</v>
      </c>
      <c r="C6" s="4">
        <f>6515+836+182.39</f>
        <v>7533.39</v>
      </c>
      <c r="D6" s="4">
        <f>900*12</f>
        <v>10800</v>
      </c>
      <c r="E6" s="2"/>
      <c r="F6" s="2"/>
      <c r="G6" s="2"/>
      <c r="H6" s="2"/>
      <c r="I6" s="2"/>
      <c r="J6" s="13">
        <v>9500</v>
      </c>
      <c r="K6" s="14">
        <f>22500</f>
        <v>22500</v>
      </c>
      <c r="L6" s="17" t="s">
        <v>37</v>
      </c>
      <c r="M6" s="13">
        <f>1888+1518.86+1703.43+1703.43+1703.43+1703.43+1703.43+1703.43+1703.43+1703.43+1703.43</f>
        <v>18737.73</v>
      </c>
      <c r="N6" s="14">
        <v>21500</v>
      </c>
      <c r="O6" s="25">
        <f t="shared" si="0"/>
        <v>-1000</v>
      </c>
      <c r="P6" s="25">
        <f>1703.43+1263.61+1483.52+1483.52+1483.52</f>
        <v>7417.6</v>
      </c>
      <c r="Q6" s="27">
        <f t="shared" si="1"/>
        <v>0.34500465116279072</v>
      </c>
      <c r="R6" s="10"/>
    </row>
    <row r="7" spans="1:18" x14ac:dyDescent="0.25">
      <c r="A7" s="10" t="s">
        <v>24</v>
      </c>
      <c r="B7" s="4">
        <f>240+1000+6200+1755+1313+1594+2700+1309-2</f>
        <v>16109</v>
      </c>
      <c r="C7" s="4">
        <f>60+326+4913+195+1136+1020+959+1268+77.97+913.47</f>
        <v>10868.439999999999</v>
      </c>
      <c r="D7" s="4">
        <v>12000</v>
      </c>
      <c r="E7" s="2"/>
      <c r="F7" s="2"/>
      <c r="G7" s="2"/>
      <c r="H7" s="2"/>
      <c r="I7" s="2"/>
      <c r="J7" s="13">
        <v>17150.310000000001</v>
      </c>
      <c r="K7" s="14">
        <v>16500</v>
      </c>
      <c r="L7" s="17"/>
      <c r="M7" s="13">
        <f>485.94+1847.09+568.02+628.74+499.46+641.82+586.05+1204.92+909+560.91+461.42</f>
        <v>8393.369999999999</v>
      </c>
      <c r="N7" s="14">
        <v>13500</v>
      </c>
      <c r="O7" s="25">
        <f t="shared" si="0"/>
        <v>-3000</v>
      </c>
      <c r="P7" s="25">
        <f>1627.12+1869.19+1029.32+633.32</f>
        <v>5158.95</v>
      </c>
      <c r="Q7" s="27">
        <f t="shared" si="1"/>
        <v>0.38214444444444445</v>
      </c>
      <c r="R7" s="10"/>
    </row>
    <row r="8" spans="1:18" x14ac:dyDescent="0.25">
      <c r="A8" s="10" t="s">
        <v>5</v>
      </c>
      <c r="B8" s="4">
        <f>5333</f>
        <v>5333</v>
      </c>
      <c r="C8" s="4">
        <f>5280+689.17</f>
        <v>5969.17</v>
      </c>
      <c r="D8" s="5">
        <v>7000</v>
      </c>
      <c r="E8" s="2"/>
      <c r="F8" s="2"/>
      <c r="G8" s="2"/>
      <c r="H8" s="2"/>
      <c r="I8" s="2"/>
      <c r="J8" s="13">
        <v>13513.51</v>
      </c>
      <c r="K8" s="14">
        <v>9000</v>
      </c>
      <c r="L8" s="17"/>
      <c r="M8" s="13">
        <f>1169.84+713.14+563.13+367.26+389.44+915.89+438.31+680.25+602.73+513.27+646.4</f>
        <v>6999.66</v>
      </c>
      <c r="N8" s="14">
        <v>8000</v>
      </c>
      <c r="O8" s="25">
        <f t="shared" si="0"/>
        <v>-1000</v>
      </c>
      <c r="P8" s="25">
        <f>639.1+611.1+573.4+468.8+897.99</f>
        <v>3190.3900000000003</v>
      </c>
      <c r="Q8" s="27">
        <f t="shared" si="1"/>
        <v>0.39879875000000004</v>
      </c>
      <c r="R8" s="10"/>
    </row>
    <row r="9" spans="1:18" x14ac:dyDescent="0.25">
      <c r="A9" s="10" t="s">
        <v>9</v>
      </c>
      <c r="B9" s="4">
        <f>1000</f>
        <v>1000</v>
      </c>
      <c r="C9" s="4">
        <f>500+150</f>
        <v>650</v>
      </c>
      <c r="D9" s="5">
        <f>1500</f>
        <v>1500</v>
      </c>
      <c r="E9" s="2"/>
      <c r="F9" s="2"/>
      <c r="G9" s="2"/>
      <c r="H9" s="2"/>
      <c r="I9" s="2"/>
      <c r="J9" s="13">
        <v>0</v>
      </c>
      <c r="K9" s="14">
        <v>1000</v>
      </c>
      <c r="L9" s="17" t="s">
        <v>38</v>
      </c>
      <c r="M9" s="13">
        <f>181.26+1600-992+500-412+158.98</f>
        <v>1036.24</v>
      </c>
      <c r="N9" s="14">
        <v>1000</v>
      </c>
      <c r="O9" s="25">
        <f t="shared" si="0"/>
        <v>0</v>
      </c>
      <c r="P9" s="25">
        <f>1613-1103+500-263+50</f>
        <v>797</v>
      </c>
      <c r="Q9" s="27">
        <f t="shared" si="1"/>
        <v>0.79700000000000004</v>
      </c>
      <c r="R9" s="10"/>
    </row>
    <row r="10" spans="1:18" x14ac:dyDescent="0.25">
      <c r="A10" s="10" t="s">
        <v>3</v>
      </c>
      <c r="B10" s="4"/>
      <c r="C10" s="5">
        <f>778-30</f>
        <v>748</v>
      </c>
      <c r="D10" s="5">
        <v>3500</v>
      </c>
      <c r="E10" s="2"/>
      <c r="F10" s="2"/>
      <c r="G10" s="2"/>
      <c r="H10" s="2"/>
      <c r="I10" s="2"/>
      <c r="J10" s="13">
        <v>3132.53</v>
      </c>
      <c r="K10" s="26">
        <v>2500</v>
      </c>
      <c r="L10" s="17"/>
      <c r="M10" s="13">
        <f>755.87+64.84+309.99</f>
        <v>1130.7</v>
      </c>
      <c r="N10" s="26">
        <v>2250</v>
      </c>
      <c r="O10" s="25">
        <f t="shared" si="0"/>
        <v>-250</v>
      </c>
      <c r="P10" s="25">
        <f>949.32+512.59-200+255.06+75</f>
        <v>1591.97</v>
      </c>
      <c r="Q10" s="27">
        <f t="shared" si="1"/>
        <v>0.70754222222222218</v>
      </c>
      <c r="R10" s="10"/>
    </row>
    <row r="11" spans="1:18" x14ac:dyDescent="0.25">
      <c r="A11" s="10" t="s">
        <v>17</v>
      </c>
      <c r="B11" s="4">
        <f>900+650</f>
        <v>1550</v>
      </c>
      <c r="C11" s="4">
        <f>650</f>
        <v>650</v>
      </c>
      <c r="D11" s="4">
        <f>1600+700</f>
        <v>2300</v>
      </c>
      <c r="E11" s="2"/>
      <c r="F11" s="2"/>
      <c r="G11" s="2"/>
      <c r="H11" s="2"/>
      <c r="I11" s="2"/>
      <c r="J11" s="13">
        <v>400</v>
      </c>
      <c r="K11" s="26">
        <v>1500</v>
      </c>
      <c r="L11" s="17" t="s">
        <v>39</v>
      </c>
      <c r="M11" s="13">
        <f>500+250</f>
        <v>750</v>
      </c>
      <c r="N11" s="26">
        <v>1250</v>
      </c>
      <c r="O11" s="25">
        <f t="shared" si="0"/>
        <v>-250</v>
      </c>
      <c r="P11" s="25">
        <f>312.5</f>
        <v>312.5</v>
      </c>
      <c r="Q11" s="27">
        <f t="shared" si="1"/>
        <v>0.25</v>
      </c>
      <c r="R11" s="10"/>
    </row>
    <row r="12" spans="1:18" x14ac:dyDescent="0.25">
      <c r="A12" s="10" t="s">
        <v>18</v>
      </c>
      <c r="B12" s="4"/>
      <c r="C12" s="4"/>
      <c r="D12" s="5">
        <v>500</v>
      </c>
      <c r="E12" s="2"/>
      <c r="F12" s="2"/>
      <c r="G12" s="2"/>
      <c r="H12" s="2"/>
      <c r="I12" s="2"/>
      <c r="J12" s="13">
        <v>500</v>
      </c>
      <c r="K12" s="26">
        <v>250</v>
      </c>
      <c r="L12" s="17" t="s">
        <v>36</v>
      </c>
      <c r="M12" s="13">
        <v>0</v>
      </c>
      <c r="N12" s="26">
        <v>250</v>
      </c>
      <c r="O12" s="25">
        <f t="shared" si="0"/>
        <v>0</v>
      </c>
      <c r="P12" s="25">
        <v>0</v>
      </c>
      <c r="Q12" s="27">
        <f t="shared" si="1"/>
        <v>0</v>
      </c>
      <c r="R12" s="10"/>
    </row>
    <row r="13" spans="1:18" x14ac:dyDescent="0.25">
      <c r="A13" s="10" t="s">
        <v>19</v>
      </c>
      <c r="B13" s="4"/>
      <c r="C13" s="4"/>
      <c r="D13" s="5">
        <v>600</v>
      </c>
      <c r="E13" s="2"/>
      <c r="F13" s="2"/>
      <c r="G13" s="2"/>
      <c r="H13" s="2"/>
      <c r="I13" s="2"/>
      <c r="J13" s="13">
        <v>0</v>
      </c>
      <c r="K13" s="26">
        <v>300</v>
      </c>
      <c r="L13" s="17" t="s">
        <v>36</v>
      </c>
      <c r="M13" s="13">
        <f>125+100</f>
        <v>225</v>
      </c>
      <c r="N13" s="26">
        <v>300</v>
      </c>
      <c r="O13" s="25">
        <f t="shared" si="0"/>
        <v>0</v>
      </c>
      <c r="P13" s="25">
        <v>0</v>
      </c>
      <c r="Q13" s="27">
        <f t="shared" si="1"/>
        <v>0</v>
      </c>
      <c r="R13" s="10"/>
    </row>
    <row r="14" spans="1:18" x14ac:dyDescent="0.25">
      <c r="A14" s="10" t="s">
        <v>60</v>
      </c>
      <c r="B14" s="4">
        <f>650+800</f>
        <v>1450</v>
      </c>
      <c r="C14" s="5">
        <f>650+100</f>
        <v>750</v>
      </c>
      <c r="D14" s="4">
        <v>5000</v>
      </c>
      <c r="E14" s="2"/>
      <c r="F14" s="2"/>
      <c r="G14" s="2"/>
      <c r="H14" s="2"/>
      <c r="I14" s="2"/>
      <c r="J14" s="13">
        <v>1250</v>
      </c>
      <c r="K14" s="26">
        <v>6500</v>
      </c>
      <c r="L14" s="21" t="s">
        <v>40</v>
      </c>
      <c r="M14" s="13">
        <f>500+1000</f>
        <v>1500</v>
      </c>
      <c r="N14" s="26">
        <v>4000</v>
      </c>
      <c r="O14" s="25">
        <f t="shared" si="0"/>
        <v>-2500</v>
      </c>
      <c r="P14" s="25">
        <v>0</v>
      </c>
      <c r="Q14" s="27">
        <f t="shared" si="1"/>
        <v>0</v>
      </c>
      <c r="R14" s="10"/>
    </row>
    <row r="15" spans="1:18" x14ac:dyDescent="0.25">
      <c r="A15" s="10" t="s">
        <v>20</v>
      </c>
      <c r="B15" s="4"/>
      <c r="C15" s="4"/>
      <c r="D15" s="5">
        <v>500</v>
      </c>
      <c r="E15" s="2"/>
      <c r="F15" s="2"/>
      <c r="G15" s="2"/>
      <c r="H15" s="2"/>
      <c r="I15" s="2"/>
      <c r="J15" s="13">
        <v>500</v>
      </c>
      <c r="K15" s="14">
        <v>250</v>
      </c>
      <c r="L15" s="17" t="s">
        <v>36</v>
      </c>
      <c r="M15" s="13">
        <v>0</v>
      </c>
      <c r="N15" s="14">
        <v>250</v>
      </c>
      <c r="O15" s="25">
        <f t="shared" si="0"/>
        <v>0</v>
      </c>
      <c r="P15" s="25">
        <v>0</v>
      </c>
      <c r="Q15" s="27">
        <f t="shared" si="1"/>
        <v>0</v>
      </c>
      <c r="R15" s="10"/>
    </row>
    <row r="16" spans="1:18" x14ac:dyDescent="0.25">
      <c r="A16" s="10" t="s">
        <v>21</v>
      </c>
      <c r="B16" s="4">
        <f>4250+2500</f>
        <v>6750</v>
      </c>
      <c r="C16" s="4"/>
      <c r="D16" s="15">
        <v>4968</v>
      </c>
      <c r="E16" s="2"/>
      <c r="F16" s="2"/>
      <c r="G16" s="2"/>
      <c r="H16" s="2"/>
      <c r="I16" s="2"/>
      <c r="J16" s="13">
        <v>5434.82</v>
      </c>
      <c r="K16" s="14">
        <v>8784</v>
      </c>
      <c r="L16" s="17"/>
      <c r="M16" s="13">
        <v>4036</v>
      </c>
      <c r="N16" s="14">
        <v>6784</v>
      </c>
      <c r="O16" s="25">
        <f t="shared" si="0"/>
        <v>-2000</v>
      </c>
      <c r="P16" s="25">
        <v>8763</v>
      </c>
      <c r="Q16" s="27">
        <f t="shared" si="1"/>
        <v>1.2917158018867925</v>
      </c>
      <c r="R16" s="10"/>
    </row>
    <row r="17" spans="1:19" x14ac:dyDescent="0.25">
      <c r="A17" s="10" t="s">
        <v>28</v>
      </c>
      <c r="B17" s="5">
        <v>1775</v>
      </c>
      <c r="C17" s="5">
        <f>560+303.12</f>
        <v>863.12</v>
      </c>
      <c r="D17" s="4">
        <v>1500</v>
      </c>
      <c r="E17" s="2"/>
      <c r="F17" s="2"/>
      <c r="G17" s="2"/>
      <c r="H17" s="2"/>
      <c r="I17" s="2"/>
      <c r="J17" s="13">
        <v>2372.83</v>
      </c>
      <c r="K17" s="14">
        <v>1500</v>
      </c>
      <c r="L17" s="17"/>
      <c r="M17" s="13">
        <f>128+30.84+145.24+218.46+29.74</f>
        <v>552.28000000000009</v>
      </c>
      <c r="N17" s="14">
        <v>1000</v>
      </c>
      <c r="O17" s="25">
        <f t="shared" si="0"/>
        <v>-500</v>
      </c>
      <c r="P17" s="25">
        <f>153.63+90.94+95+22.97</f>
        <v>362.53999999999996</v>
      </c>
      <c r="Q17" s="27">
        <f t="shared" si="1"/>
        <v>0.36253999999999997</v>
      </c>
      <c r="R17" s="10"/>
    </row>
    <row r="18" spans="1:19" x14ac:dyDescent="0.25">
      <c r="A18" s="10" t="s">
        <v>29</v>
      </c>
      <c r="B18" s="4"/>
      <c r="C18" s="4"/>
      <c r="D18" s="4">
        <v>2650</v>
      </c>
      <c r="E18" s="2"/>
      <c r="F18" s="2"/>
      <c r="G18" s="2"/>
      <c r="H18" s="2"/>
      <c r="I18" s="2"/>
      <c r="J18" s="13">
        <v>141.62</v>
      </c>
      <c r="K18" s="14">
        <v>300</v>
      </c>
      <c r="L18" s="17"/>
      <c r="M18" s="13">
        <f>862.51+79.1-80</f>
        <v>861.61</v>
      </c>
      <c r="N18" s="14">
        <v>700</v>
      </c>
      <c r="O18" s="25">
        <f t="shared" si="0"/>
        <v>400</v>
      </c>
      <c r="P18" s="25">
        <v>0</v>
      </c>
      <c r="Q18" s="27">
        <f t="shared" si="1"/>
        <v>0</v>
      </c>
      <c r="R18" s="10"/>
    </row>
    <row r="19" spans="1:19" x14ac:dyDescent="0.25">
      <c r="A19" s="10" t="s">
        <v>27</v>
      </c>
      <c r="B19" s="4"/>
      <c r="C19" s="4"/>
      <c r="D19" s="5">
        <v>1000</v>
      </c>
      <c r="E19" s="2"/>
      <c r="F19" s="2"/>
      <c r="G19" s="2"/>
      <c r="H19" s="2"/>
      <c r="I19" s="2"/>
      <c r="J19" s="13">
        <v>361.01</v>
      </c>
      <c r="K19" s="14">
        <v>250</v>
      </c>
      <c r="L19" s="17"/>
      <c r="M19" s="13">
        <f>19.49-5+45.2+284.72-115.71</f>
        <v>228.70000000000005</v>
      </c>
      <c r="N19" s="14">
        <v>250</v>
      </c>
      <c r="O19" s="25">
        <f t="shared" si="0"/>
        <v>0</v>
      </c>
      <c r="P19" s="25">
        <f>184</f>
        <v>184</v>
      </c>
      <c r="Q19" s="27">
        <f t="shared" si="1"/>
        <v>0.73599999999999999</v>
      </c>
      <c r="R19" s="10"/>
    </row>
    <row r="20" spans="1:19" ht="13.5" customHeight="1" x14ac:dyDescent="0.25">
      <c r="A20" s="10" t="s">
        <v>12</v>
      </c>
      <c r="B20" s="4">
        <v>1057</v>
      </c>
      <c r="C20" s="4">
        <f>6638+818.52</f>
        <v>7456.52</v>
      </c>
      <c r="D20" s="4">
        <v>1200</v>
      </c>
      <c r="E20" s="2"/>
      <c r="F20" s="2"/>
      <c r="G20" s="2"/>
      <c r="H20" s="2"/>
      <c r="I20" s="2"/>
      <c r="J20" s="13">
        <v>8453.57</v>
      </c>
      <c r="K20" s="14">
        <v>1000</v>
      </c>
      <c r="L20" s="17"/>
      <c r="M20" s="13">
        <f>279.73-55.59+143.94-150+34.78-25.6+167.05+214.26+59.9+82.1-75.2+42.5</f>
        <v>717.87</v>
      </c>
      <c r="N20" s="14">
        <v>1000</v>
      </c>
      <c r="O20" s="25">
        <f t="shared" si="0"/>
        <v>0</v>
      </c>
      <c r="P20" s="25">
        <f>179+6.13</f>
        <v>185.13</v>
      </c>
      <c r="Q20" s="27">
        <f t="shared" si="1"/>
        <v>0.18512999999999999</v>
      </c>
      <c r="R20" s="10"/>
    </row>
    <row r="21" spans="1:19" x14ac:dyDescent="0.25">
      <c r="A21" s="10" t="s">
        <v>10</v>
      </c>
      <c r="B21" s="4">
        <v>1000</v>
      </c>
      <c r="C21" s="4"/>
      <c r="D21" s="5">
        <v>4000</v>
      </c>
      <c r="E21" s="2"/>
      <c r="F21" s="2"/>
      <c r="G21" s="2"/>
      <c r="H21" s="2"/>
      <c r="I21" s="2"/>
      <c r="J21" s="13">
        <v>2380</v>
      </c>
      <c r="K21" s="14">
        <v>3000</v>
      </c>
      <c r="L21" s="17"/>
      <c r="M21" s="13">
        <f>900</f>
        <v>900</v>
      </c>
      <c r="N21" s="14">
        <v>2000</v>
      </c>
      <c r="O21" s="25">
        <f t="shared" si="0"/>
        <v>-1000</v>
      </c>
      <c r="P21" s="25">
        <f>500</f>
        <v>500</v>
      </c>
      <c r="Q21" s="27">
        <f t="shared" si="1"/>
        <v>0.25</v>
      </c>
      <c r="R21" s="10"/>
    </row>
    <row r="22" spans="1:19" x14ac:dyDescent="0.25">
      <c r="A22" s="11" t="s">
        <v>14</v>
      </c>
      <c r="B22" s="4">
        <f>8200/12*9</f>
        <v>6150</v>
      </c>
      <c r="C22" s="4">
        <f>3456+576</f>
        <v>4032</v>
      </c>
      <c r="D22" s="4">
        <v>8200</v>
      </c>
      <c r="E22" s="2"/>
      <c r="F22" s="2"/>
      <c r="G22" s="2"/>
      <c r="H22" s="2"/>
      <c r="I22" s="2"/>
      <c r="J22" s="13">
        <v>5184</v>
      </c>
      <c r="K22" s="14">
        <v>7608</v>
      </c>
      <c r="L22" s="17"/>
      <c r="M22" s="13">
        <f>634+634+634+634+634+634+634+634+634+634+634</f>
        <v>6974</v>
      </c>
      <c r="N22" s="14">
        <f>634*12</f>
        <v>7608</v>
      </c>
      <c r="O22" s="25">
        <f t="shared" si="0"/>
        <v>0</v>
      </c>
      <c r="P22" s="25">
        <f>634+634+634+634+634</f>
        <v>3170</v>
      </c>
      <c r="Q22" s="27">
        <f t="shared" si="1"/>
        <v>0.41666666666666669</v>
      </c>
      <c r="R22" s="10"/>
    </row>
    <row r="23" spans="1:19" x14ac:dyDescent="0.25">
      <c r="A23" s="11" t="s">
        <v>0</v>
      </c>
      <c r="B23" s="4">
        <f>800+200</f>
        <v>1000</v>
      </c>
      <c r="C23" s="4">
        <v>900</v>
      </c>
      <c r="D23" s="5">
        <v>1000</v>
      </c>
      <c r="E23" s="2"/>
      <c r="F23" s="2"/>
      <c r="G23" s="2"/>
      <c r="H23" s="2"/>
      <c r="I23" s="2"/>
      <c r="J23" s="13">
        <v>500</v>
      </c>
      <c r="K23" s="14">
        <v>500</v>
      </c>
      <c r="L23" s="21" t="s">
        <v>41</v>
      </c>
      <c r="M23" s="13">
        <f>278.68+500</f>
        <v>778.68000000000006</v>
      </c>
      <c r="N23" s="14">
        <v>500</v>
      </c>
      <c r="O23" s="25">
        <f t="shared" si="0"/>
        <v>0</v>
      </c>
      <c r="P23" s="25">
        <v>0</v>
      </c>
      <c r="Q23" s="27">
        <f t="shared" si="1"/>
        <v>0</v>
      </c>
      <c r="R23" s="10"/>
    </row>
    <row r="24" spans="1:19" x14ac:dyDescent="0.25">
      <c r="A24" s="11" t="s">
        <v>2</v>
      </c>
      <c r="B24" s="4"/>
      <c r="C24" s="4">
        <f>2540.66-2707+14.98-27</f>
        <v>-178.36000000000016</v>
      </c>
      <c r="D24" s="5">
        <v>1600</v>
      </c>
      <c r="E24" s="2"/>
      <c r="F24" s="2"/>
      <c r="G24" s="2"/>
      <c r="H24" s="2"/>
      <c r="I24" s="2"/>
      <c r="J24" s="13">
        <v>102.93</v>
      </c>
      <c r="K24" s="14">
        <v>1200</v>
      </c>
      <c r="L24" s="17"/>
      <c r="M24" s="13">
        <v>0</v>
      </c>
      <c r="N24" s="14">
        <v>600</v>
      </c>
      <c r="O24" s="25">
        <f t="shared" si="0"/>
        <v>-600</v>
      </c>
      <c r="P24" s="25">
        <v>0</v>
      </c>
      <c r="Q24" s="27">
        <f t="shared" si="1"/>
        <v>0</v>
      </c>
      <c r="R24" s="10"/>
      <c r="S24" t="s">
        <v>53</v>
      </c>
    </row>
    <row r="25" spans="1:19" x14ac:dyDescent="0.25">
      <c r="A25" s="11" t="s">
        <v>25</v>
      </c>
      <c r="B25" s="4">
        <f>5836+150+225</f>
        <v>6211</v>
      </c>
      <c r="C25" s="4">
        <f>13497+5483+598-748+193.44+782.11-40-40+35</f>
        <v>19760.55</v>
      </c>
      <c r="D25" s="4">
        <v>12760</v>
      </c>
      <c r="E25" s="2"/>
      <c r="F25" s="2"/>
      <c r="G25" s="2"/>
      <c r="H25" s="2"/>
      <c r="I25" s="2"/>
      <c r="J25" s="13">
        <v>14933.13</v>
      </c>
      <c r="K25" s="14">
        <v>12000</v>
      </c>
      <c r="L25" s="21" t="s">
        <v>42</v>
      </c>
      <c r="M25" s="13">
        <f>1783.18+1916.32+1226.06+1152.81-97.3+441.12+1322.73+800.07+904.47+1603.93+609.86+507.94</f>
        <v>12171.189999999999</v>
      </c>
      <c r="N25" s="14">
        <v>13000</v>
      </c>
      <c r="O25" s="25">
        <f t="shared" si="0"/>
        <v>1000</v>
      </c>
      <c r="P25" s="25">
        <f>1132.08+1275.6+870.76+694.75+1243.31</f>
        <v>5216.5</v>
      </c>
      <c r="Q25" s="27">
        <f t="shared" si="1"/>
        <v>0.40126923076923077</v>
      </c>
      <c r="R25" s="10"/>
    </row>
    <row r="26" spans="1:19" x14ac:dyDescent="0.25">
      <c r="A26" s="11" t="s">
        <v>4</v>
      </c>
      <c r="B26" s="4">
        <f>1000</f>
        <v>1000</v>
      </c>
      <c r="C26" s="4">
        <f>85+58.51</f>
        <v>143.51</v>
      </c>
      <c r="D26" s="5">
        <v>1000</v>
      </c>
      <c r="E26" s="2"/>
      <c r="F26" s="2"/>
      <c r="G26" s="2"/>
      <c r="H26" s="2"/>
      <c r="I26" s="2"/>
      <c r="J26" s="13">
        <v>360.78</v>
      </c>
      <c r="K26" s="14">
        <v>1000</v>
      </c>
      <c r="L26" s="17"/>
      <c r="M26" s="13">
        <f>40+114.23+150+156.31+51.48+111.72</f>
        <v>623.74</v>
      </c>
      <c r="N26" s="14">
        <v>1000</v>
      </c>
      <c r="O26" s="25">
        <f t="shared" si="0"/>
        <v>0</v>
      </c>
      <c r="P26" s="25">
        <f>188.7+54.99+72.59</f>
        <v>316.27999999999997</v>
      </c>
      <c r="Q26" s="27">
        <f t="shared" si="1"/>
        <v>0.31627999999999995</v>
      </c>
      <c r="R26" s="10"/>
    </row>
    <row r="27" spans="1:19" x14ac:dyDescent="0.25">
      <c r="A27" s="11" t="s">
        <v>34</v>
      </c>
      <c r="B27" s="4"/>
      <c r="C27" s="4"/>
      <c r="D27" s="5">
        <f>750+24891+12000+6700+2160+1000+500+2103+1130+7527+9424+5810+3278</f>
        <v>77273</v>
      </c>
      <c r="E27" s="2"/>
      <c r="F27" s="2"/>
      <c r="G27" s="2"/>
      <c r="H27" s="2"/>
      <c r="I27" s="2"/>
      <c r="J27" s="13"/>
      <c r="K27" s="14">
        <f>55221.88+34815.66</f>
        <v>90037.540000000008</v>
      </c>
      <c r="L27" s="17"/>
      <c r="M27" s="13">
        <v>75199.350000000006</v>
      </c>
      <c r="N27" s="14">
        <f>55221.88+34815.66+942.17+1425.66</f>
        <v>92405.37000000001</v>
      </c>
      <c r="O27" s="25">
        <f t="shared" si="0"/>
        <v>2367.8300000000017</v>
      </c>
      <c r="P27" s="25">
        <f>6244.27+6125.71+11044.4+6567.32+6125.71</f>
        <v>36107.409999999996</v>
      </c>
      <c r="Q27" s="27">
        <f t="shared" si="1"/>
        <v>0.39075012631841627</v>
      </c>
      <c r="R27" s="10"/>
    </row>
    <row r="28" spans="1:19" x14ac:dyDescent="0.25">
      <c r="A28" s="10" t="s">
        <v>23</v>
      </c>
      <c r="B28" s="4"/>
      <c r="C28" s="5">
        <v>2863</v>
      </c>
      <c r="D28" s="5">
        <v>3000</v>
      </c>
      <c r="E28" s="2"/>
      <c r="F28" s="2"/>
      <c r="G28" s="2"/>
      <c r="H28" s="2"/>
      <c r="I28" s="2"/>
      <c r="J28" s="13"/>
      <c r="K28" s="14">
        <v>3000</v>
      </c>
      <c r="L28" s="17"/>
      <c r="M28" s="13">
        <v>2000</v>
      </c>
      <c r="N28" s="14">
        <v>2000</v>
      </c>
      <c r="O28" s="25">
        <f t="shared" si="0"/>
        <v>-1000</v>
      </c>
      <c r="P28" s="25">
        <v>0</v>
      </c>
      <c r="Q28" s="27">
        <f t="shared" si="1"/>
        <v>0</v>
      </c>
      <c r="R28" s="10"/>
    </row>
    <row r="29" spans="1:19" x14ac:dyDescent="0.25">
      <c r="A29" s="10" t="s">
        <v>22</v>
      </c>
      <c r="B29" s="4"/>
      <c r="C29" s="4">
        <v>6036</v>
      </c>
      <c r="D29" s="4">
        <v>12000</v>
      </c>
      <c r="E29" s="2"/>
      <c r="F29" s="2"/>
      <c r="G29" s="2"/>
      <c r="H29" s="2"/>
      <c r="I29" s="2"/>
      <c r="J29" s="13">
        <v>3750</v>
      </c>
      <c r="K29" s="14">
        <v>500</v>
      </c>
      <c r="L29" s="17" t="s">
        <v>36</v>
      </c>
      <c r="M29" s="13">
        <v>0</v>
      </c>
      <c r="N29" s="14">
        <v>500</v>
      </c>
      <c r="O29" s="25">
        <f t="shared" si="0"/>
        <v>0</v>
      </c>
      <c r="P29" s="25">
        <v>0</v>
      </c>
      <c r="Q29" s="27">
        <f t="shared" si="1"/>
        <v>0</v>
      </c>
      <c r="R29" s="10"/>
    </row>
    <row r="30" spans="1:19" x14ac:dyDescent="0.25">
      <c r="A30" s="10" t="s">
        <v>7</v>
      </c>
      <c r="B30" s="4">
        <f>750+375</f>
        <v>1125</v>
      </c>
      <c r="C30" s="4">
        <f>313+305+212.06+54+42+6</f>
        <v>932.06</v>
      </c>
      <c r="D30" s="4">
        <f>315+305+305+315</f>
        <v>1240</v>
      </c>
      <c r="E30" s="2"/>
      <c r="F30" s="2"/>
      <c r="G30" s="2"/>
      <c r="H30" s="2"/>
      <c r="I30" s="2"/>
      <c r="J30" s="13">
        <v>149</v>
      </c>
      <c r="K30" s="14">
        <v>500</v>
      </c>
      <c r="L30" s="21" t="s">
        <v>43</v>
      </c>
      <c r="M30" s="13">
        <f>299+149.99+298.48</f>
        <v>747.47</v>
      </c>
      <c r="N30" s="14">
        <v>500</v>
      </c>
      <c r="O30" s="25">
        <f t="shared" si="0"/>
        <v>0</v>
      </c>
      <c r="P30" s="25">
        <v>325</v>
      </c>
      <c r="Q30" s="27">
        <f t="shared" si="1"/>
        <v>0.65</v>
      </c>
      <c r="R30" s="10"/>
    </row>
    <row r="31" spans="1:19" x14ac:dyDescent="0.25">
      <c r="A31" s="10" t="s">
        <v>54</v>
      </c>
      <c r="B31" s="4"/>
      <c r="C31" s="4"/>
      <c r="D31" s="4"/>
      <c r="E31" s="2"/>
      <c r="F31" s="2"/>
      <c r="G31" s="2"/>
      <c r="H31" s="2"/>
      <c r="I31" s="2"/>
      <c r="J31" s="13"/>
      <c r="K31" s="14">
        <v>0</v>
      </c>
      <c r="L31" s="21"/>
      <c r="M31" s="13">
        <v>0</v>
      </c>
      <c r="N31" s="14">
        <v>4000</v>
      </c>
      <c r="O31" s="25">
        <f t="shared" si="0"/>
        <v>4000</v>
      </c>
      <c r="P31" s="25">
        <v>1000</v>
      </c>
      <c r="Q31" s="27">
        <f t="shared" si="1"/>
        <v>0.25</v>
      </c>
      <c r="R31" s="10"/>
    </row>
    <row r="32" spans="1:19" x14ac:dyDescent="0.25">
      <c r="A32" s="10" t="s">
        <v>8</v>
      </c>
      <c r="B32" s="4">
        <f>1800+525+5625+998+4000+490+388+490</f>
        <v>14316</v>
      </c>
      <c r="C32" s="4">
        <f>1094+797+4165+795+125+277+106+598+770.97+2098.05+39.7+250.06+181.12</f>
        <v>11296.900000000001</v>
      </c>
      <c r="D32" s="4">
        <v>14000</v>
      </c>
      <c r="E32" s="2"/>
      <c r="F32" s="2"/>
      <c r="G32" s="2"/>
      <c r="H32" s="2"/>
      <c r="I32" s="2"/>
      <c r="J32" s="13">
        <v>10828.9</v>
      </c>
      <c r="K32" s="14">
        <v>17500</v>
      </c>
      <c r="L32" s="17" t="s">
        <v>45</v>
      </c>
      <c r="M32" s="13">
        <f>772.19+755.79+1107.03+1348.76+1252.68+1210.3+875.19+733.81+851.54+3801.11+916.32</f>
        <v>13624.720000000001</v>
      </c>
      <c r="N32" s="14">
        <v>15000</v>
      </c>
      <c r="O32" s="25">
        <f t="shared" si="0"/>
        <v>-2500</v>
      </c>
      <c r="P32" s="25">
        <f>798.07+3362.96+892.01+1619.63+1509.56</f>
        <v>8182.23</v>
      </c>
      <c r="Q32" s="27">
        <f t="shared" si="1"/>
        <v>0.54548200000000002</v>
      </c>
      <c r="R32" s="10"/>
    </row>
    <row r="33" spans="1:18" x14ac:dyDescent="0.25">
      <c r="A33" s="18" t="s">
        <v>6</v>
      </c>
      <c r="B33" s="19">
        <f>1400+525+1800+1388+300</f>
        <v>5413</v>
      </c>
      <c r="C33" s="19">
        <f>5826+282+1400+756+181+1252.41+200+180</f>
        <v>10077.41</v>
      </c>
      <c r="D33" s="19">
        <v>19000</v>
      </c>
      <c r="E33" s="2"/>
      <c r="F33" s="2"/>
      <c r="G33" s="2"/>
      <c r="H33" s="2"/>
      <c r="I33" s="2"/>
      <c r="J33" s="20">
        <v>16762.2</v>
      </c>
      <c r="K33" s="23">
        <v>10000</v>
      </c>
      <c r="L33" s="21" t="s">
        <v>44</v>
      </c>
      <c r="M33" s="13">
        <f>750.95+895.79+435.09+715.18+468.44+596.67+321.87+544.92+700.54+750.73+515.64</f>
        <v>6695.8200000000006</v>
      </c>
      <c r="N33" s="23">
        <v>8000</v>
      </c>
      <c r="O33" s="25">
        <f t="shared" si="0"/>
        <v>-2000</v>
      </c>
      <c r="P33" s="25">
        <f>1664.3+489.09+982.06+853.32+570.21</f>
        <v>4558.9799999999996</v>
      </c>
      <c r="Q33" s="27">
        <f t="shared" ref="Q33" si="2">P33/N33</f>
        <v>0.56987249999999989</v>
      </c>
      <c r="R33" s="10"/>
    </row>
    <row r="34" spans="1:18" x14ac:dyDescent="0.25">
      <c r="A34" s="28" t="s">
        <v>56</v>
      </c>
      <c r="B34" s="32">
        <f>SUM(B4:B33)</f>
        <v>86435</v>
      </c>
      <c r="C34" s="32">
        <f>SUM(C4:C33)</f>
        <v>95540.709999999992</v>
      </c>
      <c r="D34" s="32">
        <f>SUM(D4:D33)</f>
        <v>217091</v>
      </c>
      <c r="E34" s="17"/>
      <c r="F34" s="17"/>
      <c r="G34" s="17"/>
      <c r="H34" s="17"/>
      <c r="I34" s="17"/>
      <c r="J34" s="30">
        <f>SUM(J4:J33)</f>
        <v>119397.08</v>
      </c>
      <c r="K34" s="14">
        <f>SUM(K4:K33)</f>
        <v>223379.54</v>
      </c>
      <c r="L34" s="33" t="s">
        <v>46</v>
      </c>
      <c r="M34" s="30">
        <f>SUM(M4:M33)</f>
        <v>170055.08000000002</v>
      </c>
      <c r="N34" s="14">
        <f>SUM(N4:N33)</f>
        <v>213747.37</v>
      </c>
      <c r="O34" s="25">
        <f t="shared" si="0"/>
        <v>-9632.1700000000128</v>
      </c>
      <c r="P34" s="14">
        <f>SUM(P4:P33)</f>
        <v>88667.729999999981</v>
      </c>
      <c r="Q34" s="10"/>
      <c r="R34" s="10"/>
    </row>
    <row r="35" spans="1:18" x14ac:dyDescent="0.25">
      <c r="A35" s="28" t="s">
        <v>58</v>
      </c>
      <c r="B35" s="10"/>
      <c r="C35" s="10"/>
      <c r="D35" s="10"/>
      <c r="E35" s="17"/>
      <c r="F35" s="17"/>
      <c r="G35" s="17"/>
      <c r="H35" s="17"/>
      <c r="I35" s="17"/>
      <c r="J35" s="17"/>
      <c r="K35" s="29"/>
      <c r="L35" s="17"/>
      <c r="M35" s="30">
        <f>144962.97+15483.95+16549.79</f>
        <v>176996.71000000002</v>
      </c>
      <c r="N35" s="31"/>
      <c r="O35" s="10"/>
      <c r="P35" s="34">
        <f>12354.752+17367.09+13379.53+12173.35+16609.63</f>
        <v>71884.351999999999</v>
      </c>
      <c r="Q35" s="10"/>
      <c r="R35" s="10"/>
    </row>
    <row r="36" spans="1:18" ht="15.75" x14ac:dyDescent="0.25">
      <c r="A36" s="35" t="s">
        <v>59</v>
      </c>
      <c r="B36" s="36"/>
      <c r="C36" s="35"/>
      <c r="D36" s="37">
        <f>D34/52</f>
        <v>4174.8269230769229</v>
      </c>
      <c r="E36" s="38"/>
      <c r="F36" s="38"/>
      <c r="G36" s="38"/>
      <c r="H36" s="38"/>
      <c r="I36" s="38"/>
      <c r="J36" s="38"/>
      <c r="K36" s="39"/>
      <c r="L36" s="38"/>
      <c r="M36" s="40">
        <f>M35-M34</f>
        <v>6941.6300000000047</v>
      </c>
      <c r="N36" s="41"/>
      <c r="O36" s="35"/>
      <c r="P36" s="39">
        <f>P34-P35</f>
        <v>16783.377999999982</v>
      </c>
      <c r="Q36" s="10"/>
      <c r="R36" s="10"/>
    </row>
  </sheetData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reichart</dc:creator>
  <cp:lastModifiedBy>Maria Reichart</cp:lastModifiedBy>
  <cp:lastPrinted>2024-06-20T20:04:46Z</cp:lastPrinted>
  <dcterms:created xsi:type="dcterms:W3CDTF">2020-02-19T01:42:02Z</dcterms:created>
  <dcterms:modified xsi:type="dcterms:W3CDTF">2024-10-21T20:38:00Z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{D32E2410-0CCC-4FB8-B747-691639E53792}</vt:lpwstr>
  </property>
</Properties>
</file>